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EALWATER\Documents\RATES\2019 rates\"/>
    </mc:Choice>
  </mc:AlternateContent>
  <xr:revisionPtr revIDLastSave="0" documentId="13_ncr:1_{B9E3BBF9-5CE8-43BF-A42C-43F70170412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3000-7900" sheetId="2" r:id="rId1"/>
    <sheet name="8000-12900" sheetId="1" r:id="rId2"/>
    <sheet name="13000-17900" sheetId="3" r:id="rId3"/>
    <sheet name="18000-23000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6" i="4" l="1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I56" i="4" l="1"/>
  <c r="I50" i="4"/>
  <c r="I49" i="4"/>
  <c r="I48" i="4"/>
  <c r="I45" i="4"/>
  <c r="I44" i="4"/>
  <c r="I43" i="4"/>
  <c r="I42" i="4"/>
  <c r="I41" i="4"/>
  <c r="I40" i="4"/>
  <c r="I39" i="4"/>
  <c r="I38" i="4"/>
  <c r="I37" i="4"/>
  <c r="I36" i="4"/>
  <c r="I34" i="4"/>
  <c r="I33" i="4"/>
  <c r="I32" i="4"/>
  <c r="I26" i="4"/>
  <c r="I25" i="4"/>
  <c r="I24" i="4"/>
  <c r="I23" i="4"/>
  <c r="I22" i="4"/>
  <c r="I21" i="4"/>
  <c r="I20" i="4"/>
  <c r="I19" i="4"/>
  <c r="I15" i="4"/>
  <c r="I14" i="4"/>
  <c r="I13" i="4"/>
  <c r="I7" i="4"/>
  <c r="I18" i="4"/>
  <c r="I17" i="4"/>
  <c r="I16" i="4"/>
  <c r="I11" i="4"/>
  <c r="I10" i="4"/>
  <c r="I8" i="4"/>
  <c r="I55" i="4"/>
  <c r="I54" i="4"/>
  <c r="I53" i="4"/>
  <c r="I52" i="4"/>
  <c r="I51" i="4"/>
  <c r="I47" i="4"/>
  <c r="I46" i="4"/>
  <c r="I35" i="4"/>
  <c r="I31" i="4"/>
  <c r="I30" i="4"/>
  <c r="I29" i="4"/>
  <c r="I28" i="4"/>
  <c r="I27" i="4"/>
  <c r="I12" i="4"/>
  <c r="I9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I6" i="4"/>
  <c r="I55" i="3"/>
  <c r="I53" i="3"/>
  <c r="I52" i="3"/>
  <c r="I51" i="3"/>
  <c r="I47" i="3"/>
  <c r="I45" i="3"/>
  <c r="I44" i="3"/>
  <c r="I41" i="3"/>
  <c r="I40" i="3"/>
  <c r="I39" i="3"/>
  <c r="I38" i="3"/>
  <c r="I37" i="3"/>
  <c r="I36" i="3"/>
  <c r="I32" i="3"/>
  <c r="I31" i="3"/>
  <c r="I28" i="3"/>
  <c r="I27" i="3"/>
  <c r="I35" i="3"/>
  <c r="I34" i="3"/>
  <c r="I30" i="3"/>
  <c r="I20" i="3"/>
  <c r="I25" i="3"/>
  <c r="I23" i="3"/>
  <c r="I21" i="3"/>
  <c r="I19" i="3"/>
  <c r="I17" i="3"/>
  <c r="I15" i="3"/>
  <c r="I14" i="3"/>
  <c r="I13" i="3"/>
  <c r="I12" i="3"/>
  <c r="I11" i="3"/>
  <c r="I10" i="3"/>
  <c r="I9" i="3"/>
  <c r="I8" i="3"/>
  <c r="I6" i="3"/>
  <c r="I54" i="3"/>
  <c r="I50" i="3"/>
  <c r="I49" i="3"/>
  <c r="I48" i="3"/>
  <c r="I46" i="3"/>
  <c r="I43" i="3"/>
  <c r="I42" i="3"/>
  <c r="I33" i="3"/>
  <c r="I29" i="3"/>
  <c r="I26" i="3"/>
  <c r="I24" i="3"/>
  <c r="I22" i="3"/>
  <c r="I1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I50" i="2"/>
  <c r="I42" i="2"/>
  <c r="I12" i="2"/>
  <c r="I53" i="2"/>
  <c r="I52" i="2"/>
  <c r="I51" i="2"/>
  <c r="I45" i="2"/>
  <c r="I44" i="2"/>
  <c r="I39" i="2"/>
  <c r="I36" i="2"/>
  <c r="I35" i="2"/>
  <c r="I34" i="2"/>
  <c r="I29" i="2"/>
  <c r="I23" i="2"/>
  <c r="I22" i="2"/>
  <c r="I21" i="2"/>
  <c r="I20" i="2"/>
  <c r="I18" i="2"/>
  <c r="I16" i="2"/>
  <c r="I15" i="2"/>
  <c r="I13" i="2"/>
  <c r="I11" i="2"/>
  <c r="I10" i="2"/>
  <c r="I6" i="2"/>
  <c r="I7" i="3" l="1"/>
  <c r="I18" i="3"/>
  <c r="I30" i="2"/>
  <c r="I26" i="2"/>
  <c r="I14" i="2"/>
  <c r="I40" i="2"/>
  <c r="I46" i="2"/>
  <c r="I7" i="2"/>
  <c r="I19" i="2"/>
  <c r="I25" i="2"/>
  <c r="I48" i="2"/>
  <c r="I28" i="2"/>
  <c r="I8" i="2"/>
  <c r="I31" i="2"/>
  <c r="I43" i="2"/>
  <c r="I49" i="2"/>
  <c r="I54" i="2"/>
  <c r="I37" i="2"/>
  <c r="I41" i="2"/>
  <c r="I24" i="2"/>
  <c r="I27" i="2"/>
  <c r="I9" i="2"/>
  <c r="I32" i="2"/>
  <c r="I55" i="2"/>
  <c r="I33" i="2"/>
  <c r="I38" i="2"/>
  <c r="I47" i="2"/>
  <c r="I17" i="2"/>
  <c r="I18" i="1" l="1"/>
  <c r="I27" i="1"/>
  <c r="I48" i="1"/>
  <c r="I30" i="1"/>
  <c r="I50" i="1"/>
  <c r="I9" i="1"/>
  <c r="I41" i="1"/>
  <c r="I20" i="1"/>
  <c r="I49" i="1"/>
  <c r="I35" i="1"/>
  <c r="I15" i="1"/>
  <c r="I12" i="1"/>
  <c r="I40" i="1"/>
  <c r="I38" i="1"/>
  <c r="I33" i="1"/>
  <c r="I17" i="1"/>
  <c r="I11" i="1"/>
  <c r="I21" i="1"/>
  <c r="I47" i="1"/>
  <c r="I42" i="1"/>
  <c r="I53" i="1"/>
  <c r="I28" i="1"/>
  <c r="I46" i="1"/>
  <c r="I32" i="1"/>
  <c r="I24" i="1"/>
  <c r="I26" i="1"/>
  <c r="I10" i="1"/>
  <c r="I45" i="1"/>
  <c r="I13" i="1"/>
  <c r="I16" i="1"/>
  <c r="I52" i="1"/>
  <c r="I19" i="1"/>
  <c r="I37" i="1"/>
  <c r="I25" i="1"/>
  <c r="I29" i="1"/>
  <c r="I31" i="1"/>
  <c r="I44" i="1"/>
  <c r="I8" i="1"/>
  <c r="I6" i="1"/>
  <c r="I34" i="1"/>
  <c r="I39" i="1"/>
  <c r="I22" i="1"/>
  <c r="I51" i="1"/>
  <c r="I7" i="1"/>
  <c r="I54" i="1"/>
  <c r="I23" i="1"/>
  <c r="I36" i="1"/>
  <c r="I55" i="1"/>
  <c r="I43" i="1"/>
  <c r="I14" i="1"/>
</calcChain>
</file>

<file path=xl/sharedStrings.xml><?xml version="1.0" encoding="utf-8"?>
<sst xmlns="http://schemas.openxmlformats.org/spreadsheetml/2006/main" count="38" uniqueCount="14">
  <si>
    <t>WATER</t>
  </si>
  <si>
    <t>SEWER</t>
  </si>
  <si>
    <t>FIRE</t>
  </si>
  <si>
    <t>TOTAL</t>
  </si>
  <si>
    <t>GALLONS</t>
  </si>
  <si>
    <t>EAST ALABMA WATER DISTRICT - RESIDENTIAL ACCOUNTS</t>
  </si>
  <si>
    <t>EFFECTIVE OCTOBER 1, 2019 USAGE (OCTOBER BILLING)</t>
  </si>
  <si>
    <t>5,100  (5,100-3,000=2,100 or 2.1)    AMT&gt;MIN</t>
  </si>
  <si>
    <t>CALCULATION EXAMPLE:</t>
  </si>
  <si>
    <t>WATER $5.78/1000  SEWER $6.00/1000</t>
  </si>
  <si>
    <t>then (2.1*$5.78) + $21.00 = $33.14</t>
  </si>
  <si>
    <t>MIN + amt &gt;MIN*$5.78</t>
  </si>
  <si>
    <t>MIN + amt &gt;MIN*$6.00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</si>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</sst>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/>
    <xf numFmtId="2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4" fillId="0" borderId="0" xfId="0" applyFont="1"/>
    <xf numFmtId="0" fontId="3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6"/>
  <sheetViews>
    <sheetView tabSelected="1" workbookViewId="0">
      <selection activeCell="E7" sqref="E7"/>
    </sheetView>
  </sheetViews>
  <sheetFormatPr defaultRowHeight="15" x14ac:dyDescent="0.25"/>
  <sheetData>
    <row r="1" spans="1:14" ht="18.75" x14ac:dyDescent="0.3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1" t="s">
        <v>8</v>
      </c>
    </row>
    <row r="2" spans="1:14" ht="18.75" x14ac:dyDescent="0.3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0" t="s">
        <v>7</v>
      </c>
      <c r="K2" s="10"/>
      <c r="L2" s="10"/>
      <c r="M2" s="10"/>
      <c r="N2" s="10"/>
    </row>
    <row r="3" spans="1:14" ht="18.75" x14ac:dyDescent="0.3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0" t="s">
        <v>10</v>
      </c>
      <c r="K3" s="10"/>
      <c r="L3" s="10"/>
      <c r="M3" s="10"/>
      <c r="N3" s="10"/>
    </row>
    <row r="4" spans="1:14" ht="18.75" x14ac:dyDescent="0.3">
      <c r="A4" s="1" t="s">
        <v>4</v>
      </c>
      <c r="B4" s="1"/>
      <c r="C4" s="2" t="s">
        <v>0</v>
      </c>
      <c r="D4" s="3"/>
      <c r="E4" s="2" t="s">
        <v>1</v>
      </c>
      <c r="F4" s="3"/>
      <c r="G4" s="2" t="s">
        <v>2</v>
      </c>
      <c r="H4" s="3"/>
      <c r="I4" s="4" t="s">
        <v>3</v>
      </c>
      <c r="J4" s="10"/>
      <c r="K4" s="10" t="s">
        <v>11</v>
      </c>
      <c r="L4" s="10"/>
      <c r="M4" s="10"/>
      <c r="N4" s="10"/>
    </row>
    <row r="5" spans="1:14" ht="18.75" x14ac:dyDescent="0.3">
      <c r="A5" s="5"/>
      <c r="B5" s="5"/>
      <c r="C5" s="6"/>
      <c r="D5" s="7"/>
      <c r="E5" s="6"/>
      <c r="F5" s="7"/>
      <c r="G5" s="6"/>
      <c r="H5" s="7"/>
      <c r="I5" s="8"/>
      <c r="J5" s="10"/>
      <c r="K5" s="10" t="s">
        <v>12</v>
      </c>
      <c r="L5" s="10"/>
      <c r="M5" s="10"/>
      <c r="N5" s="10"/>
    </row>
    <row r="6" spans="1:14" ht="18.75" x14ac:dyDescent="0.3">
      <c r="A6" s="9">
        <v>3000</v>
      </c>
      <c r="B6" s="9"/>
      <c r="C6" s="6">
        <v>21</v>
      </c>
      <c r="D6" s="7"/>
      <c r="E6" s="6">
        <v>23.5</v>
      </c>
      <c r="F6" s="7"/>
      <c r="G6" s="6">
        <v>16.75</v>
      </c>
      <c r="H6" s="7"/>
      <c r="I6" s="8">
        <f t="shared" ref="I6:I55" si="0">SUM(C6:G6)</f>
        <v>61.25</v>
      </c>
      <c r="K6" t="s">
        <v>13</v>
      </c>
      <c r="L6" s="12"/>
    </row>
    <row r="7" spans="1:14" ht="18.75" x14ac:dyDescent="0.3">
      <c r="A7" s="9">
        <v>3100</v>
      </c>
      <c r="B7" s="9"/>
      <c r="C7" s="6">
        <f>+$C$6+0.1*5.78</f>
        <v>21.577999999999999</v>
      </c>
      <c r="D7" s="7"/>
      <c r="E7" s="6">
        <f>+$E$6+0.1*6</f>
        <v>24.1</v>
      </c>
      <c r="F7" s="7"/>
      <c r="G7" s="6">
        <v>16.75</v>
      </c>
      <c r="H7" s="7"/>
      <c r="I7" s="8">
        <f t="shared" si="0"/>
        <v>62.427999999999997</v>
      </c>
    </row>
    <row r="8" spans="1:14" ht="18.75" x14ac:dyDescent="0.3">
      <c r="A8" s="9">
        <v>3200</v>
      </c>
      <c r="B8" s="9"/>
      <c r="C8" s="6">
        <f>+$C$6+0.2*5.78</f>
        <v>22.155999999999999</v>
      </c>
      <c r="D8" s="7"/>
      <c r="E8" s="6">
        <f>+$E$6+0.2*6</f>
        <v>24.7</v>
      </c>
      <c r="F8" s="7"/>
      <c r="G8" s="6">
        <v>16.75</v>
      </c>
      <c r="H8" s="7"/>
      <c r="I8" s="8">
        <f t="shared" si="0"/>
        <v>63.605999999999995</v>
      </c>
    </row>
    <row r="9" spans="1:14" ht="18.75" x14ac:dyDescent="0.3">
      <c r="A9" s="9">
        <v>3300</v>
      </c>
      <c r="B9" s="9"/>
      <c r="C9" s="6">
        <f>+$C$6+0.3*5.78</f>
        <v>22.734000000000002</v>
      </c>
      <c r="D9" s="7"/>
      <c r="E9" s="6">
        <f>+$E$6+0.3*6</f>
        <v>25.3</v>
      </c>
      <c r="F9" s="7"/>
      <c r="G9" s="6">
        <v>16.75</v>
      </c>
      <c r="H9" s="7"/>
      <c r="I9" s="8">
        <f t="shared" si="0"/>
        <v>64.784000000000006</v>
      </c>
    </row>
    <row r="10" spans="1:14" ht="18.75" x14ac:dyDescent="0.3">
      <c r="A10" s="9">
        <v>3400</v>
      </c>
      <c r="B10" s="9"/>
      <c r="C10" s="6">
        <f>+$C$6+0.4*5.78</f>
        <v>23.312000000000001</v>
      </c>
      <c r="D10" s="7"/>
      <c r="E10" s="6">
        <f>+$E$6+0.4*6</f>
        <v>25.9</v>
      </c>
      <c r="F10" s="7"/>
      <c r="G10" s="6">
        <v>16.75</v>
      </c>
      <c r="H10" s="7"/>
      <c r="I10" s="8">
        <f t="shared" si="0"/>
        <v>65.962000000000003</v>
      </c>
    </row>
    <row r="11" spans="1:14" ht="18.75" x14ac:dyDescent="0.3">
      <c r="A11" s="9">
        <v>3500</v>
      </c>
      <c r="B11" s="9"/>
      <c r="C11" s="6">
        <f>+$C$6+0.5*5.78</f>
        <v>23.89</v>
      </c>
      <c r="D11" s="7"/>
      <c r="E11" s="6">
        <f>+$E$6+0.5*6</f>
        <v>26.5</v>
      </c>
      <c r="F11" s="7"/>
      <c r="G11" s="6">
        <v>16.75</v>
      </c>
      <c r="H11" s="7"/>
      <c r="I11" s="8">
        <f t="shared" si="0"/>
        <v>67.14</v>
      </c>
      <c r="L11" s="12"/>
    </row>
    <row r="12" spans="1:14" ht="18.75" x14ac:dyDescent="0.3">
      <c r="A12" s="9">
        <v>3600</v>
      </c>
      <c r="B12" s="9"/>
      <c r="C12" s="6">
        <f>+$C$6+0.6*5.78</f>
        <v>24.468</v>
      </c>
      <c r="D12" s="7"/>
      <c r="E12" s="6">
        <f>+$E$6+0.6*6</f>
        <v>27.1</v>
      </c>
      <c r="F12" s="7"/>
      <c r="G12" s="6">
        <v>16.75</v>
      </c>
      <c r="H12" s="7"/>
      <c r="I12" s="8">
        <f t="shared" si="0"/>
        <v>68.317999999999998</v>
      </c>
    </row>
    <row r="13" spans="1:14" ht="18.75" x14ac:dyDescent="0.3">
      <c r="A13" s="9">
        <v>3700</v>
      </c>
      <c r="B13" s="9"/>
      <c r="C13" s="6">
        <f>+$C$6+0.7*5.78</f>
        <v>25.045999999999999</v>
      </c>
      <c r="D13" s="7"/>
      <c r="E13" s="6">
        <f>+$E$6+0.7*6</f>
        <v>27.7</v>
      </c>
      <c r="F13" s="7"/>
      <c r="G13" s="6">
        <v>16.75</v>
      </c>
      <c r="H13" s="7"/>
      <c r="I13" s="8">
        <f t="shared" si="0"/>
        <v>69.495999999999995</v>
      </c>
    </row>
    <row r="14" spans="1:14" ht="18.75" x14ac:dyDescent="0.3">
      <c r="A14" s="9">
        <v>3800</v>
      </c>
      <c r="B14" s="9"/>
      <c r="C14" s="6">
        <f>+$C$6+0.8*5.78</f>
        <v>25.624000000000002</v>
      </c>
      <c r="D14" s="7"/>
      <c r="E14" s="6">
        <f>+$E$6+0.8*6</f>
        <v>28.3</v>
      </c>
      <c r="F14" s="7"/>
      <c r="G14" s="6">
        <v>16.75</v>
      </c>
      <c r="H14" s="7"/>
      <c r="I14" s="8">
        <f t="shared" si="0"/>
        <v>70.674000000000007</v>
      </c>
    </row>
    <row r="15" spans="1:14" ht="18.75" x14ac:dyDescent="0.3">
      <c r="A15" s="9">
        <v>3900</v>
      </c>
      <c r="B15" s="9"/>
      <c r="C15" s="6">
        <f>+$C$6+0.9*5.78</f>
        <v>26.201999999999998</v>
      </c>
      <c r="D15" s="7"/>
      <c r="E15" s="6">
        <f>+$E$6+0.9*6</f>
        <v>28.9</v>
      </c>
      <c r="F15" s="7"/>
      <c r="G15" s="6">
        <v>16.75</v>
      </c>
      <c r="H15" s="7"/>
      <c r="I15" s="8">
        <f t="shared" si="0"/>
        <v>71.852000000000004</v>
      </c>
      <c r="L15" s="12"/>
    </row>
    <row r="16" spans="1:14" ht="18.75" x14ac:dyDescent="0.3">
      <c r="A16" s="9">
        <v>4000</v>
      </c>
      <c r="B16" s="9"/>
      <c r="C16" s="6">
        <f>+$C$6+1*5.78</f>
        <v>26.78</v>
      </c>
      <c r="D16" s="7"/>
      <c r="E16" s="6">
        <f>+$E$6+1*6</f>
        <v>29.5</v>
      </c>
      <c r="F16" s="7"/>
      <c r="G16" s="6">
        <v>16.75</v>
      </c>
      <c r="H16" s="7"/>
      <c r="I16" s="8">
        <f t="shared" si="0"/>
        <v>73.03</v>
      </c>
      <c r="L16" s="12"/>
    </row>
    <row r="17" spans="1:12" ht="18.75" x14ac:dyDescent="0.3">
      <c r="A17" s="9">
        <v>4100</v>
      </c>
      <c r="B17" s="9"/>
      <c r="C17" s="6">
        <f>+$C$6+1.1*5.78</f>
        <v>27.358000000000001</v>
      </c>
      <c r="D17" s="7"/>
      <c r="E17" s="6">
        <f>+$E$6+1.1*6</f>
        <v>30.1</v>
      </c>
      <c r="F17" s="7"/>
      <c r="G17" s="6">
        <v>16.75</v>
      </c>
      <c r="H17" s="7"/>
      <c r="I17" s="8">
        <f t="shared" si="0"/>
        <v>74.207999999999998</v>
      </c>
    </row>
    <row r="18" spans="1:12" ht="18.75" x14ac:dyDescent="0.3">
      <c r="A18" s="9">
        <v>4200</v>
      </c>
      <c r="B18" s="9"/>
      <c r="C18" s="6">
        <f>+$C$6+1.2*5.78</f>
        <v>27.936</v>
      </c>
      <c r="D18" s="7"/>
      <c r="E18" s="6">
        <f>+$E$6+1.2*6</f>
        <v>30.7</v>
      </c>
      <c r="F18" s="7"/>
      <c r="G18" s="6">
        <v>16.75</v>
      </c>
      <c r="H18" s="7"/>
      <c r="I18" s="8">
        <f t="shared" si="0"/>
        <v>75.385999999999996</v>
      </c>
    </row>
    <row r="19" spans="1:12" ht="18.75" x14ac:dyDescent="0.3">
      <c r="A19" s="9">
        <v>4300</v>
      </c>
      <c r="B19" s="9"/>
      <c r="C19" s="6">
        <f>+$C$6+1.3*5.78</f>
        <v>28.513999999999999</v>
      </c>
      <c r="D19" s="7"/>
      <c r="E19" s="6">
        <f>+$E$6+1.3*6</f>
        <v>31.3</v>
      </c>
      <c r="F19" s="7"/>
      <c r="G19" s="6">
        <v>16.75</v>
      </c>
      <c r="H19" s="7"/>
      <c r="I19" s="8">
        <f t="shared" si="0"/>
        <v>76.563999999999993</v>
      </c>
    </row>
    <row r="20" spans="1:12" ht="18.75" x14ac:dyDescent="0.3">
      <c r="A20" s="9">
        <v>4400</v>
      </c>
      <c r="B20" s="9"/>
      <c r="C20" s="6">
        <f>+$C$6+1.4*5.78</f>
        <v>29.091999999999999</v>
      </c>
      <c r="D20" s="7"/>
      <c r="E20" s="6">
        <f>+$E$6+1.4*6</f>
        <v>31.9</v>
      </c>
      <c r="F20" s="7"/>
      <c r="G20" s="6">
        <v>16.75</v>
      </c>
      <c r="H20" s="7"/>
      <c r="I20" s="8">
        <f t="shared" si="0"/>
        <v>77.74199999999999</v>
      </c>
    </row>
    <row r="21" spans="1:12" ht="18.75" x14ac:dyDescent="0.3">
      <c r="A21" s="9">
        <v>4500</v>
      </c>
      <c r="B21" s="9"/>
      <c r="C21" s="6">
        <f>+$C$6+1.5*5.78</f>
        <v>29.67</v>
      </c>
      <c r="D21" s="7"/>
      <c r="E21" s="6">
        <f>+$E$6+1.5*6</f>
        <v>32.5</v>
      </c>
      <c r="F21" s="7"/>
      <c r="G21" s="6">
        <v>16.75</v>
      </c>
      <c r="H21" s="7"/>
      <c r="I21" s="8">
        <f t="shared" si="0"/>
        <v>78.92</v>
      </c>
      <c r="L21" s="12"/>
    </row>
    <row r="22" spans="1:12" ht="18.75" x14ac:dyDescent="0.3">
      <c r="A22" s="9">
        <v>4600</v>
      </c>
      <c r="B22" s="9"/>
      <c r="C22" s="6">
        <f>+$C$6+1.6*5.78</f>
        <v>30.248000000000001</v>
      </c>
      <c r="D22" s="7"/>
      <c r="E22" s="6">
        <f>+$E$6+1.6*6</f>
        <v>33.1</v>
      </c>
      <c r="F22" s="7"/>
      <c r="G22" s="6">
        <v>16.75</v>
      </c>
      <c r="H22" s="7"/>
      <c r="I22" s="8">
        <f t="shared" si="0"/>
        <v>80.097999999999999</v>
      </c>
    </row>
    <row r="23" spans="1:12" ht="18.75" x14ac:dyDescent="0.3">
      <c r="A23" s="9">
        <v>4700</v>
      </c>
      <c r="B23" s="9"/>
      <c r="C23" s="6">
        <f>+$C$6+1.7*5.78</f>
        <v>30.826000000000001</v>
      </c>
      <c r="D23" s="7"/>
      <c r="E23" s="6">
        <f>+$E$6+1.7*6</f>
        <v>33.700000000000003</v>
      </c>
      <c r="F23" s="7"/>
      <c r="G23" s="6">
        <v>16.75</v>
      </c>
      <c r="H23" s="7"/>
      <c r="I23" s="8">
        <f t="shared" si="0"/>
        <v>81.27600000000001</v>
      </c>
    </row>
    <row r="24" spans="1:12" ht="18.75" x14ac:dyDescent="0.3">
      <c r="A24" s="9">
        <v>4800</v>
      </c>
      <c r="B24" s="9"/>
      <c r="C24" s="6">
        <f>+$C$6+1.8*5.78</f>
        <v>31.404</v>
      </c>
      <c r="D24" s="7"/>
      <c r="E24" s="6">
        <f>+$E$6+1.8*6</f>
        <v>34.299999999999997</v>
      </c>
      <c r="F24" s="7"/>
      <c r="G24" s="6">
        <v>16.75</v>
      </c>
      <c r="H24" s="7"/>
      <c r="I24" s="8">
        <f t="shared" si="0"/>
        <v>82.453999999999994</v>
      </c>
    </row>
    <row r="25" spans="1:12" ht="18.75" x14ac:dyDescent="0.3">
      <c r="A25" s="9">
        <v>4900</v>
      </c>
      <c r="B25" s="9"/>
      <c r="C25" s="6">
        <f>+$C$6+1.9*5.78</f>
        <v>31.981999999999999</v>
      </c>
      <c r="D25" s="7"/>
      <c r="E25" s="6">
        <f>+$E$6+1.9*6</f>
        <v>34.9</v>
      </c>
      <c r="F25" s="7"/>
      <c r="G25" s="6">
        <v>16.75</v>
      </c>
      <c r="H25" s="7"/>
      <c r="I25" s="8">
        <f t="shared" si="0"/>
        <v>83.632000000000005</v>
      </c>
      <c r="L25" s="12"/>
    </row>
    <row r="26" spans="1:12" ht="18.75" x14ac:dyDescent="0.3">
      <c r="A26" s="9">
        <v>5000</v>
      </c>
      <c r="B26" s="9"/>
      <c r="C26" s="6">
        <f>+$C$6+2*5.78</f>
        <v>32.56</v>
      </c>
      <c r="D26" s="7"/>
      <c r="E26" s="6">
        <f>+$E$6+2*6</f>
        <v>35.5</v>
      </c>
      <c r="F26" s="7"/>
      <c r="G26" s="6">
        <v>16.75</v>
      </c>
      <c r="H26" s="7"/>
      <c r="I26" s="8">
        <f t="shared" si="0"/>
        <v>84.81</v>
      </c>
      <c r="L26" s="12"/>
    </row>
    <row r="27" spans="1:12" ht="18.75" x14ac:dyDescent="0.3">
      <c r="A27" s="9">
        <v>5100</v>
      </c>
      <c r="B27" s="9"/>
      <c r="C27" s="6">
        <f>+$C$6+2.1*5.78</f>
        <v>33.138000000000005</v>
      </c>
      <c r="D27" s="7"/>
      <c r="E27" s="6">
        <f>+$E$6+2.1*6</f>
        <v>36.1</v>
      </c>
      <c r="F27" s="7"/>
      <c r="G27" s="6">
        <v>16.75</v>
      </c>
      <c r="H27" s="7"/>
      <c r="I27" s="8">
        <f t="shared" si="0"/>
        <v>85.988</v>
      </c>
    </row>
    <row r="28" spans="1:12" ht="18.75" x14ac:dyDescent="0.3">
      <c r="A28" s="9">
        <v>5200</v>
      </c>
      <c r="B28" s="9"/>
      <c r="C28" s="6">
        <f>+$C$6+2.2*5.78</f>
        <v>33.716000000000001</v>
      </c>
      <c r="D28" s="7"/>
      <c r="E28" s="6">
        <f>+$E$6+2.2*6</f>
        <v>36.700000000000003</v>
      </c>
      <c r="F28" s="7"/>
      <c r="G28" s="6">
        <v>16.75</v>
      </c>
      <c r="H28" s="7"/>
      <c r="I28" s="8">
        <f t="shared" si="0"/>
        <v>87.165999999999997</v>
      </c>
    </row>
    <row r="29" spans="1:12" ht="18.75" x14ac:dyDescent="0.3">
      <c r="A29" s="9">
        <v>5300</v>
      </c>
      <c r="B29" s="9"/>
      <c r="C29" s="6">
        <f>+$C$6+2.3*5.78</f>
        <v>34.293999999999997</v>
      </c>
      <c r="D29" s="7"/>
      <c r="E29" s="6">
        <f>+$E$6+2.3*6</f>
        <v>37.299999999999997</v>
      </c>
      <c r="F29" s="7"/>
      <c r="G29" s="6">
        <v>16.75</v>
      </c>
      <c r="H29" s="7"/>
      <c r="I29" s="8">
        <f t="shared" si="0"/>
        <v>88.343999999999994</v>
      </c>
    </row>
    <row r="30" spans="1:12" ht="18.75" x14ac:dyDescent="0.3">
      <c r="A30" s="9">
        <v>5400</v>
      </c>
      <c r="B30" s="9"/>
      <c r="C30" s="6">
        <f>+$C$6+2.4*5.78</f>
        <v>34.872</v>
      </c>
      <c r="D30" s="7"/>
      <c r="E30" s="6">
        <f>+$E$6+2.4*6</f>
        <v>37.9</v>
      </c>
      <c r="F30" s="7"/>
      <c r="G30" s="6">
        <v>16.75</v>
      </c>
      <c r="H30" s="7"/>
      <c r="I30" s="8">
        <f t="shared" si="0"/>
        <v>89.521999999999991</v>
      </c>
    </row>
    <row r="31" spans="1:12" ht="18.75" x14ac:dyDescent="0.3">
      <c r="A31" s="9">
        <v>5500</v>
      </c>
      <c r="B31" s="9"/>
      <c r="C31" s="6">
        <f>+$C$6+2.5*5.78</f>
        <v>35.450000000000003</v>
      </c>
      <c r="D31" s="7"/>
      <c r="E31" s="6">
        <f>+$E$6+2.5*6</f>
        <v>38.5</v>
      </c>
      <c r="F31" s="7"/>
      <c r="G31" s="6">
        <v>16.75</v>
      </c>
      <c r="H31" s="7"/>
      <c r="I31" s="8">
        <f t="shared" si="0"/>
        <v>90.7</v>
      </c>
    </row>
    <row r="32" spans="1:12" ht="18.75" x14ac:dyDescent="0.3">
      <c r="A32" s="9">
        <v>5600</v>
      </c>
      <c r="B32" s="9"/>
      <c r="C32" s="6">
        <f>+$C$6+2.6*5.78</f>
        <v>36.027999999999999</v>
      </c>
      <c r="D32" s="7"/>
      <c r="E32" s="6">
        <f>+$E$6+2.6*6</f>
        <v>39.1</v>
      </c>
      <c r="F32" s="7"/>
      <c r="G32" s="6">
        <v>16.75</v>
      </c>
      <c r="H32" s="7"/>
      <c r="I32" s="8">
        <f t="shared" si="0"/>
        <v>91.878</v>
      </c>
    </row>
    <row r="33" spans="1:12" ht="18.75" x14ac:dyDescent="0.3">
      <c r="A33" s="9">
        <v>5700</v>
      </c>
      <c r="B33" s="9"/>
      <c r="C33" s="6">
        <f>+$C$6+2.7*5.78</f>
        <v>36.606000000000002</v>
      </c>
      <c r="D33" s="7"/>
      <c r="E33" s="6">
        <f>+$E$6+2.7*6</f>
        <v>39.700000000000003</v>
      </c>
      <c r="F33" s="7"/>
      <c r="G33" s="6">
        <v>16.75</v>
      </c>
      <c r="H33" s="7"/>
      <c r="I33" s="8">
        <f t="shared" si="0"/>
        <v>93.056000000000012</v>
      </c>
    </row>
    <row r="34" spans="1:12" ht="18.75" x14ac:dyDescent="0.3">
      <c r="A34" s="9">
        <v>5800</v>
      </c>
      <c r="B34" s="9"/>
      <c r="C34" s="6">
        <f>+$C$6+2.8*5.78</f>
        <v>37.183999999999997</v>
      </c>
      <c r="D34" s="7"/>
      <c r="E34" s="6">
        <f>+$E$6+2.8*6</f>
        <v>40.299999999999997</v>
      </c>
      <c r="F34" s="7"/>
      <c r="G34" s="6">
        <v>16.75</v>
      </c>
      <c r="H34" s="7"/>
      <c r="I34" s="8">
        <f t="shared" si="0"/>
        <v>94.233999999999995</v>
      </c>
      <c r="L34" s="12"/>
    </row>
    <row r="35" spans="1:12" ht="18.75" x14ac:dyDescent="0.3">
      <c r="A35" s="9">
        <v>5900</v>
      </c>
      <c r="B35" s="9"/>
      <c r="C35" s="6">
        <f>+$C$6+2.9*5.78</f>
        <v>37.762</v>
      </c>
      <c r="D35" s="7"/>
      <c r="E35" s="6">
        <f>+$E$6+2.9*6</f>
        <v>40.9</v>
      </c>
      <c r="F35" s="7"/>
      <c r="G35" s="6">
        <v>16.75</v>
      </c>
      <c r="H35" s="7"/>
      <c r="I35" s="8">
        <f t="shared" si="0"/>
        <v>95.412000000000006</v>
      </c>
      <c r="L35" s="12"/>
    </row>
    <row r="36" spans="1:12" ht="18.75" x14ac:dyDescent="0.3">
      <c r="A36" s="9">
        <v>6000</v>
      </c>
      <c r="B36" s="9"/>
      <c r="C36" s="6">
        <f>+$C$6+3*5.78</f>
        <v>38.340000000000003</v>
      </c>
      <c r="D36" s="7"/>
      <c r="E36" s="6">
        <f>+$E$6+3*6</f>
        <v>41.5</v>
      </c>
      <c r="F36" s="7"/>
      <c r="G36" s="6">
        <v>16.75</v>
      </c>
      <c r="H36" s="7"/>
      <c r="I36" s="8">
        <f t="shared" si="0"/>
        <v>96.59</v>
      </c>
    </row>
    <row r="37" spans="1:12" ht="18.75" x14ac:dyDescent="0.3">
      <c r="A37" s="9">
        <v>6100</v>
      </c>
      <c r="B37" s="9"/>
      <c r="C37" s="6">
        <f>+$C$6+3.1*5.78</f>
        <v>38.918000000000006</v>
      </c>
      <c r="D37" s="7"/>
      <c r="E37" s="6">
        <f>+$E$6+3.1*6</f>
        <v>42.1</v>
      </c>
      <c r="F37" s="7"/>
      <c r="G37" s="6">
        <v>16.75</v>
      </c>
      <c r="H37" s="7"/>
      <c r="I37" s="8">
        <f t="shared" si="0"/>
        <v>97.768000000000001</v>
      </c>
    </row>
    <row r="38" spans="1:12" ht="18.75" x14ac:dyDescent="0.3">
      <c r="A38" s="9">
        <v>6200</v>
      </c>
      <c r="B38" s="9"/>
      <c r="C38" s="6">
        <f>+$C$6+3.2*5.78</f>
        <v>39.496000000000002</v>
      </c>
      <c r="D38" s="7"/>
      <c r="E38" s="6">
        <f>+$E$6+3.2*6</f>
        <v>42.7</v>
      </c>
      <c r="F38" s="7"/>
      <c r="G38" s="6">
        <v>16.75</v>
      </c>
      <c r="H38" s="7"/>
      <c r="I38" s="8">
        <f t="shared" si="0"/>
        <v>98.945999999999998</v>
      </c>
      <c r="L38" s="12"/>
    </row>
    <row r="39" spans="1:12" ht="18.75" x14ac:dyDescent="0.3">
      <c r="A39" s="9">
        <v>6300</v>
      </c>
      <c r="B39" s="9"/>
      <c r="C39" s="6">
        <f>+$C$6+3.3*5.78</f>
        <v>40.073999999999998</v>
      </c>
      <c r="D39" s="7"/>
      <c r="E39" s="6">
        <f>+$E$6+3.3*6</f>
        <v>43.3</v>
      </c>
      <c r="F39" s="7"/>
      <c r="G39" s="6">
        <v>16.75</v>
      </c>
      <c r="H39" s="7"/>
      <c r="I39" s="8">
        <f t="shared" si="0"/>
        <v>100.124</v>
      </c>
    </row>
    <row r="40" spans="1:12" ht="18.75" x14ac:dyDescent="0.3">
      <c r="A40" s="9">
        <v>6400</v>
      </c>
      <c r="B40" s="9"/>
      <c r="C40" s="6">
        <f>+$C$6+3.4*5.783</f>
        <v>40.662199999999999</v>
      </c>
      <c r="D40" s="7"/>
      <c r="E40" s="6">
        <f>+$E$6+3.4*6</f>
        <v>43.9</v>
      </c>
      <c r="F40" s="7"/>
      <c r="G40" s="6">
        <v>16.75</v>
      </c>
      <c r="H40" s="7"/>
      <c r="I40" s="8">
        <f t="shared" si="0"/>
        <v>101.31219999999999</v>
      </c>
    </row>
    <row r="41" spans="1:12" ht="18.75" x14ac:dyDescent="0.3">
      <c r="A41" s="9">
        <v>6500</v>
      </c>
      <c r="B41" s="9"/>
      <c r="C41" s="6">
        <f>+$C$6+3.5*5.78</f>
        <v>41.230000000000004</v>
      </c>
      <c r="D41" s="7"/>
      <c r="E41" s="6">
        <f>+$E$6+3.5*6</f>
        <v>44.5</v>
      </c>
      <c r="F41" s="7"/>
      <c r="G41" s="6">
        <v>16.75</v>
      </c>
      <c r="H41" s="7"/>
      <c r="I41" s="8">
        <f t="shared" si="0"/>
        <v>102.48</v>
      </c>
      <c r="L41" s="12"/>
    </row>
    <row r="42" spans="1:12" ht="18.75" x14ac:dyDescent="0.3">
      <c r="A42" s="9">
        <v>6600</v>
      </c>
      <c r="B42" s="9"/>
      <c r="C42" s="6">
        <f>+$C$6+3.6*5.78</f>
        <v>41.808</v>
      </c>
      <c r="D42" s="7"/>
      <c r="E42" s="6">
        <f>+$E$6+3.6*6</f>
        <v>45.1</v>
      </c>
      <c r="F42" s="7"/>
      <c r="G42" s="6">
        <v>16.75</v>
      </c>
      <c r="H42" s="7"/>
      <c r="I42" s="8">
        <f t="shared" si="0"/>
        <v>103.658</v>
      </c>
    </row>
    <row r="43" spans="1:12" ht="18.75" x14ac:dyDescent="0.3">
      <c r="A43" s="9">
        <v>6700</v>
      </c>
      <c r="B43" s="9"/>
      <c r="C43" s="6">
        <f>+$C$6+3.7*5.78</f>
        <v>42.386000000000003</v>
      </c>
      <c r="D43" s="7"/>
      <c r="E43" s="6">
        <f>+$E$6+3.7*6</f>
        <v>45.7</v>
      </c>
      <c r="F43" s="7"/>
      <c r="G43" s="6">
        <v>16.75</v>
      </c>
      <c r="H43" s="7"/>
      <c r="I43" s="8">
        <f t="shared" si="0"/>
        <v>104.83600000000001</v>
      </c>
    </row>
    <row r="44" spans="1:12" ht="18.75" x14ac:dyDescent="0.3">
      <c r="A44" s="9">
        <v>6800</v>
      </c>
      <c r="B44" s="9"/>
      <c r="C44" s="6">
        <f>+$C$6+3.8*5.78</f>
        <v>42.963999999999999</v>
      </c>
      <c r="D44" s="7"/>
      <c r="E44" s="6">
        <f>+$E$6+3.8*6</f>
        <v>46.3</v>
      </c>
      <c r="F44" s="7"/>
      <c r="G44" s="6">
        <v>16.75</v>
      </c>
      <c r="H44" s="7"/>
      <c r="I44" s="8">
        <f t="shared" si="0"/>
        <v>106.014</v>
      </c>
      <c r="L44" s="12"/>
    </row>
    <row r="45" spans="1:12" ht="18.75" x14ac:dyDescent="0.3">
      <c r="A45" s="9">
        <v>6900</v>
      </c>
      <c r="B45" s="9"/>
      <c r="C45" s="6">
        <f>+$C$6+3.9*5.78</f>
        <v>43.542000000000002</v>
      </c>
      <c r="D45" s="7"/>
      <c r="E45" s="6">
        <f>+$E$6+3.9*6</f>
        <v>46.9</v>
      </c>
      <c r="F45" s="7"/>
      <c r="G45" s="6">
        <v>16.75</v>
      </c>
      <c r="H45" s="7"/>
      <c r="I45" s="8">
        <f t="shared" si="0"/>
        <v>107.19200000000001</v>
      </c>
      <c r="L45" s="12"/>
    </row>
    <row r="46" spans="1:12" ht="18.75" x14ac:dyDescent="0.3">
      <c r="A46" s="9">
        <v>7000</v>
      </c>
      <c r="B46" s="9"/>
      <c r="C46" s="6">
        <f>+$C$6+4*5.78</f>
        <v>44.120000000000005</v>
      </c>
      <c r="D46" s="7"/>
      <c r="E46" s="6">
        <f>+$E$6+4*6</f>
        <v>47.5</v>
      </c>
      <c r="F46" s="7"/>
      <c r="G46" s="6">
        <v>16.75</v>
      </c>
      <c r="H46" s="7"/>
      <c r="I46" s="8">
        <f t="shared" si="0"/>
        <v>108.37</v>
      </c>
    </row>
    <row r="47" spans="1:12" ht="18.75" x14ac:dyDescent="0.3">
      <c r="A47" s="9">
        <v>7100</v>
      </c>
      <c r="B47" s="9"/>
      <c r="C47" s="6">
        <f>+$C$6+4.1*5.78</f>
        <v>44.698</v>
      </c>
      <c r="D47" s="7"/>
      <c r="E47" s="6">
        <f>+$E$6+4.1*6</f>
        <v>48.099999999999994</v>
      </c>
      <c r="F47" s="7"/>
      <c r="G47" s="6">
        <v>16.75</v>
      </c>
      <c r="H47" s="7"/>
      <c r="I47" s="8">
        <f t="shared" si="0"/>
        <v>109.548</v>
      </c>
    </row>
    <row r="48" spans="1:12" ht="18.75" x14ac:dyDescent="0.3">
      <c r="A48" s="9">
        <v>7200</v>
      </c>
      <c r="B48" s="9"/>
      <c r="C48" s="6">
        <f>+$C$6+4.2*5.78</f>
        <v>45.276000000000003</v>
      </c>
      <c r="D48" s="7"/>
      <c r="E48" s="6">
        <f>+$E$6+4.2*6</f>
        <v>48.7</v>
      </c>
      <c r="F48" s="7"/>
      <c r="G48" s="6">
        <v>16.75</v>
      </c>
      <c r="H48" s="7"/>
      <c r="I48" s="8">
        <f t="shared" si="0"/>
        <v>110.726</v>
      </c>
      <c r="L48" s="12"/>
    </row>
    <row r="49" spans="1:12" ht="18.75" x14ac:dyDescent="0.3">
      <c r="A49" s="9">
        <v>7300</v>
      </c>
      <c r="B49" s="9"/>
      <c r="C49" s="6">
        <f>+$C$6+4.3*5.78</f>
        <v>45.853999999999999</v>
      </c>
      <c r="D49" s="7"/>
      <c r="E49" s="6">
        <f>+$E$6+4.3*6</f>
        <v>49.3</v>
      </c>
      <c r="F49" s="7"/>
      <c r="G49" s="6">
        <v>16.75</v>
      </c>
      <c r="H49" s="7"/>
      <c r="I49" s="8">
        <f t="shared" si="0"/>
        <v>111.904</v>
      </c>
    </row>
    <row r="50" spans="1:12" ht="18.75" x14ac:dyDescent="0.3">
      <c r="A50" s="9">
        <v>7400</v>
      </c>
      <c r="B50" s="9"/>
      <c r="C50" s="6">
        <f>+$C$6+4.4*5.783</f>
        <v>46.4452</v>
      </c>
      <c r="D50" s="7"/>
      <c r="E50" s="6">
        <f>+$E$6+4.4*6</f>
        <v>49.900000000000006</v>
      </c>
      <c r="F50" s="7"/>
      <c r="G50" s="6">
        <v>16.75</v>
      </c>
      <c r="H50" s="7"/>
      <c r="I50" s="8">
        <f t="shared" si="0"/>
        <v>113.09520000000001</v>
      </c>
    </row>
    <row r="51" spans="1:12" ht="18.75" x14ac:dyDescent="0.3">
      <c r="A51" s="9">
        <v>7500</v>
      </c>
      <c r="B51" s="9"/>
      <c r="C51" s="6">
        <f>+$C$6+4.5*5.78</f>
        <v>47.010000000000005</v>
      </c>
      <c r="D51" s="7"/>
      <c r="E51" s="6">
        <f>+$E$6+4.5*6</f>
        <v>50.5</v>
      </c>
      <c r="F51" s="7"/>
      <c r="G51" s="6">
        <v>16.75</v>
      </c>
      <c r="H51" s="7"/>
      <c r="I51" s="8">
        <f t="shared" si="0"/>
        <v>114.26</v>
      </c>
      <c r="L51" s="12"/>
    </row>
    <row r="52" spans="1:12" ht="18.75" x14ac:dyDescent="0.3">
      <c r="A52" s="9">
        <v>7600</v>
      </c>
      <c r="B52" s="9"/>
      <c r="C52" s="6">
        <f>+$C$6+4.6*5.78</f>
        <v>47.587999999999994</v>
      </c>
      <c r="D52" s="7"/>
      <c r="E52" s="6">
        <f>+$E$6+4.6*6</f>
        <v>51.099999999999994</v>
      </c>
      <c r="F52" s="7"/>
      <c r="G52" s="6">
        <v>16.75</v>
      </c>
      <c r="H52" s="7"/>
      <c r="I52" s="8">
        <f t="shared" si="0"/>
        <v>115.43799999999999</v>
      </c>
    </row>
    <row r="53" spans="1:12" ht="18.75" x14ac:dyDescent="0.3">
      <c r="A53" s="9">
        <v>7700</v>
      </c>
      <c r="B53" s="9"/>
      <c r="C53" s="6">
        <f>+$C$6+4.7*5.78</f>
        <v>48.166000000000004</v>
      </c>
      <c r="D53" s="7"/>
      <c r="E53" s="6">
        <f>+$E$6+4.7*6</f>
        <v>51.7</v>
      </c>
      <c r="F53" s="7"/>
      <c r="G53" s="6">
        <v>16.75</v>
      </c>
      <c r="H53" s="7"/>
      <c r="I53" s="8">
        <f t="shared" si="0"/>
        <v>116.61600000000001</v>
      </c>
    </row>
    <row r="54" spans="1:12" ht="18.75" x14ac:dyDescent="0.3">
      <c r="A54" s="9">
        <v>7800</v>
      </c>
      <c r="B54" s="9"/>
      <c r="C54" s="6">
        <f>+$C$6+4.8*5.78</f>
        <v>48.744</v>
      </c>
      <c r="D54" s="7"/>
      <c r="E54" s="6">
        <f>+$E$6+4.8*6</f>
        <v>52.3</v>
      </c>
      <c r="F54" s="7"/>
      <c r="G54" s="6">
        <v>16.75</v>
      </c>
      <c r="H54" s="7"/>
      <c r="I54" s="8">
        <f t="shared" si="0"/>
        <v>117.794</v>
      </c>
    </row>
    <row r="55" spans="1:12" ht="18.75" x14ac:dyDescent="0.3">
      <c r="A55" s="9">
        <v>7900</v>
      </c>
      <c r="B55" s="9"/>
      <c r="C55" s="6">
        <f>+$C$6+4.9*5.78</f>
        <v>49.322000000000003</v>
      </c>
      <c r="D55" s="7"/>
      <c r="E55" s="6">
        <f>+$E$6+4.9*6</f>
        <v>52.900000000000006</v>
      </c>
      <c r="F55" s="7"/>
      <c r="G55" s="6">
        <v>16.75</v>
      </c>
      <c r="H55" s="7"/>
      <c r="I55" s="8">
        <f t="shared" si="0"/>
        <v>118.97200000000001</v>
      </c>
      <c r="L55" s="12"/>
    </row>
    <row r="56" spans="1:12" ht="18.75" x14ac:dyDescent="0.3">
      <c r="A56" s="9"/>
      <c r="B56" s="9"/>
      <c r="C56" s="6"/>
      <c r="D56" s="7"/>
      <c r="E56" s="6"/>
      <c r="F56" s="7"/>
      <c r="G56" s="6"/>
      <c r="H56" s="7"/>
      <c r="I56" s="8"/>
    </row>
  </sheetData>
  <mergeCells count="3">
    <mergeCell ref="A1:I1"/>
    <mergeCell ref="A2:I2"/>
    <mergeCell ref="A3:I3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workbookViewId="0">
      <selection activeCell="A4" sqref="A4:XFD6"/>
    </sheetView>
  </sheetViews>
  <sheetFormatPr defaultRowHeight="15" x14ac:dyDescent="0.25"/>
  <sheetData>
    <row r="1" spans="1:9" ht="18.75" x14ac:dyDescent="0.3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9" ht="18.75" x14ac:dyDescent="0.3">
      <c r="A2" s="13" t="s">
        <v>6</v>
      </c>
      <c r="B2" s="13"/>
      <c r="C2" s="13"/>
      <c r="D2" s="13"/>
      <c r="E2" s="13"/>
      <c r="F2" s="13"/>
      <c r="G2" s="13"/>
      <c r="H2" s="13"/>
      <c r="I2" s="13"/>
    </row>
    <row r="3" spans="1:9" ht="18.75" x14ac:dyDescent="0.3">
      <c r="A3" s="14" t="s">
        <v>9</v>
      </c>
      <c r="B3" s="14"/>
      <c r="C3" s="14"/>
      <c r="D3" s="14"/>
      <c r="E3" s="14"/>
      <c r="F3" s="14"/>
      <c r="G3" s="14"/>
      <c r="H3" s="14"/>
      <c r="I3" s="14"/>
    </row>
    <row r="4" spans="1:9" ht="18.75" x14ac:dyDescent="0.3">
      <c r="A4" s="1" t="s">
        <v>4</v>
      </c>
      <c r="B4" s="1"/>
      <c r="C4" s="2" t="s">
        <v>0</v>
      </c>
      <c r="D4" s="3"/>
      <c r="E4" s="2" t="s">
        <v>1</v>
      </c>
      <c r="F4" s="3"/>
      <c r="G4" s="2" t="s">
        <v>2</v>
      </c>
      <c r="H4" s="3"/>
      <c r="I4" s="4" t="s">
        <v>3</v>
      </c>
    </row>
    <row r="5" spans="1:9" ht="18.75" hidden="1" x14ac:dyDescent="0.3">
      <c r="A5" s="5"/>
      <c r="B5" s="5"/>
      <c r="C5" s="6">
        <v>21</v>
      </c>
      <c r="D5" s="7"/>
      <c r="E5" s="6">
        <v>23.5</v>
      </c>
      <c r="F5" s="7"/>
      <c r="G5" s="6"/>
      <c r="H5" s="7"/>
      <c r="I5" s="8"/>
    </row>
    <row r="6" spans="1:9" ht="18.75" x14ac:dyDescent="0.3">
      <c r="A6" s="9">
        <v>8000</v>
      </c>
      <c r="B6" s="9"/>
      <c r="C6" s="6">
        <f>+$C$5+5*5.78</f>
        <v>49.900000000000006</v>
      </c>
      <c r="D6" s="7"/>
      <c r="E6" s="6">
        <f>+$E$5+5*6</f>
        <v>53.5</v>
      </c>
      <c r="F6" s="7"/>
      <c r="G6" s="6">
        <v>16.75</v>
      </c>
      <c r="H6" s="7"/>
      <c r="I6" s="8">
        <f t="shared" ref="I6:I55" si="0">SUM(C6:G6)</f>
        <v>120.15</v>
      </c>
    </row>
    <row r="7" spans="1:9" ht="18.75" x14ac:dyDescent="0.3">
      <c r="A7" s="9">
        <f>+A6+100</f>
        <v>8100</v>
      </c>
      <c r="B7" s="9"/>
      <c r="C7" s="6">
        <f>+$C$5+5.1*5.78</f>
        <v>50.477999999999994</v>
      </c>
      <c r="D7" s="7"/>
      <c r="E7" s="6">
        <f>+$E$5+5.1*6</f>
        <v>54.099999999999994</v>
      </c>
      <c r="F7" s="7"/>
      <c r="G7" s="6">
        <v>16.75</v>
      </c>
      <c r="H7" s="7"/>
      <c r="I7" s="8">
        <f t="shared" si="0"/>
        <v>121.32799999999999</v>
      </c>
    </row>
    <row r="8" spans="1:9" ht="18.75" x14ac:dyDescent="0.3">
      <c r="A8" s="9">
        <f t="shared" ref="A8:A55" si="1">+A7+100</f>
        <v>8200</v>
      </c>
      <c r="B8" s="9"/>
      <c r="C8" s="6">
        <f>+$C$5+5.2*5.78</f>
        <v>51.055999999999997</v>
      </c>
      <c r="D8" s="7"/>
      <c r="E8" s="6">
        <f>+$E$5+5.2*6</f>
        <v>54.7</v>
      </c>
      <c r="F8" s="7"/>
      <c r="G8" s="6">
        <v>16.75</v>
      </c>
      <c r="H8" s="7"/>
      <c r="I8" s="8">
        <f t="shared" si="0"/>
        <v>122.506</v>
      </c>
    </row>
    <row r="9" spans="1:9" ht="18.75" x14ac:dyDescent="0.3">
      <c r="A9" s="9">
        <f t="shared" si="1"/>
        <v>8300</v>
      </c>
      <c r="B9" s="9"/>
      <c r="C9" s="6">
        <f>+$C$5+5.3*5.78</f>
        <v>51.634</v>
      </c>
      <c r="D9" s="7"/>
      <c r="E9" s="6">
        <f>+$E$5+5.3*6</f>
        <v>55.3</v>
      </c>
      <c r="F9" s="7"/>
      <c r="G9" s="6">
        <v>16.75</v>
      </c>
      <c r="H9" s="7"/>
      <c r="I9" s="8">
        <f t="shared" si="0"/>
        <v>123.684</v>
      </c>
    </row>
    <row r="10" spans="1:9" ht="18.75" x14ac:dyDescent="0.3">
      <c r="A10" s="9">
        <f t="shared" si="1"/>
        <v>8400</v>
      </c>
      <c r="B10" s="9"/>
      <c r="C10" s="6">
        <f>+$C$5+5.4*5.78</f>
        <v>52.212000000000003</v>
      </c>
      <c r="D10" s="7"/>
      <c r="E10" s="6">
        <f>+$E$5+5.4*6</f>
        <v>55.900000000000006</v>
      </c>
      <c r="F10" s="7"/>
      <c r="G10" s="6">
        <v>16.75</v>
      </c>
      <c r="H10" s="7"/>
      <c r="I10" s="8">
        <f t="shared" si="0"/>
        <v>124.86200000000001</v>
      </c>
    </row>
    <row r="11" spans="1:9" ht="18.75" x14ac:dyDescent="0.3">
      <c r="A11" s="9">
        <f t="shared" si="1"/>
        <v>8500</v>
      </c>
      <c r="B11" s="9"/>
      <c r="C11" s="6">
        <f>+$C$5+5.5*5.78</f>
        <v>52.790000000000006</v>
      </c>
      <c r="D11" s="7"/>
      <c r="E11" s="6">
        <f>+$E$5+5.5*6</f>
        <v>56.5</v>
      </c>
      <c r="F11" s="7"/>
      <c r="G11" s="6">
        <v>16.75</v>
      </c>
      <c r="H11" s="7"/>
      <c r="I11" s="8">
        <f t="shared" si="0"/>
        <v>126.04</v>
      </c>
    </row>
    <row r="12" spans="1:9" ht="18.75" x14ac:dyDescent="0.3">
      <c r="A12" s="9">
        <f t="shared" si="1"/>
        <v>8600</v>
      </c>
      <c r="B12" s="9"/>
      <c r="C12" s="6">
        <f>+$C$5+5.6*5.78</f>
        <v>53.368000000000002</v>
      </c>
      <c r="D12" s="7"/>
      <c r="E12" s="6">
        <f>+$E$5+5.6*6</f>
        <v>57.099999999999994</v>
      </c>
      <c r="F12" s="7"/>
      <c r="G12" s="6">
        <v>16.75</v>
      </c>
      <c r="H12" s="7"/>
      <c r="I12" s="8">
        <f t="shared" si="0"/>
        <v>127.21799999999999</v>
      </c>
    </row>
    <row r="13" spans="1:9" ht="18.75" x14ac:dyDescent="0.3">
      <c r="A13" s="9">
        <f t="shared" si="1"/>
        <v>8700</v>
      </c>
      <c r="B13" s="9"/>
      <c r="C13" s="6">
        <f>+$C$5+5.7*5.78</f>
        <v>53.946000000000005</v>
      </c>
      <c r="D13" s="7"/>
      <c r="E13" s="6">
        <f>+$E$5+5.7*6</f>
        <v>57.7</v>
      </c>
      <c r="F13" s="7"/>
      <c r="G13" s="6">
        <v>16.75</v>
      </c>
      <c r="H13" s="7"/>
      <c r="I13" s="8">
        <f t="shared" si="0"/>
        <v>128.39600000000002</v>
      </c>
    </row>
    <row r="14" spans="1:9" ht="18.75" x14ac:dyDescent="0.3">
      <c r="A14" s="9">
        <f t="shared" si="1"/>
        <v>8800</v>
      </c>
      <c r="B14" s="9"/>
      <c r="C14" s="6">
        <f>+$C$5+5.8*5.78</f>
        <v>54.524000000000001</v>
      </c>
      <c r="D14" s="7"/>
      <c r="E14" s="6">
        <f>+$E$5+5.8*6</f>
        <v>58.3</v>
      </c>
      <c r="F14" s="7"/>
      <c r="G14" s="6">
        <v>16.75</v>
      </c>
      <c r="H14" s="7"/>
      <c r="I14" s="8">
        <f t="shared" si="0"/>
        <v>129.57400000000001</v>
      </c>
    </row>
    <row r="15" spans="1:9" ht="18.75" x14ac:dyDescent="0.3">
      <c r="A15" s="9">
        <f t="shared" si="1"/>
        <v>8900</v>
      </c>
      <c r="B15" s="9"/>
      <c r="C15" s="6">
        <f>+$C$5+5.9*5.78</f>
        <v>55.102000000000004</v>
      </c>
      <c r="D15" s="7"/>
      <c r="E15" s="6">
        <f>+$E$5+5.9*6</f>
        <v>58.900000000000006</v>
      </c>
      <c r="F15" s="7"/>
      <c r="G15" s="6">
        <v>16.75</v>
      </c>
      <c r="H15" s="7"/>
      <c r="I15" s="8">
        <f t="shared" si="0"/>
        <v>130.75200000000001</v>
      </c>
    </row>
    <row r="16" spans="1:9" ht="18.75" x14ac:dyDescent="0.3">
      <c r="A16" s="9">
        <f t="shared" si="1"/>
        <v>9000</v>
      </c>
      <c r="B16" s="9"/>
      <c r="C16" s="6">
        <f>+$C$5+6*5.78</f>
        <v>55.68</v>
      </c>
      <c r="D16" s="7"/>
      <c r="E16" s="6">
        <f>+$E$5+6*6</f>
        <v>59.5</v>
      </c>
      <c r="F16" s="7"/>
      <c r="G16" s="6">
        <v>16.75</v>
      </c>
      <c r="H16" s="7"/>
      <c r="I16" s="8">
        <f t="shared" si="0"/>
        <v>131.93</v>
      </c>
    </row>
    <row r="17" spans="1:9" ht="18.75" x14ac:dyDescent="0.3">
      <c r="A17" s="9">
        <f t="shared" si="1"/>
        <v>9100</v>
      </c>
      <c r="B17" s="9"/>
      <c r="C17" s="6">
        <f>+$C$5+6.1*5.78</f>
        <v>56.258000000000003</v>
      </c>
      <c r="D17" s="7"/>
      <c r="E17" s="6">
        <f>+$E$5+6.1*6</f>
        <v>60.099999999999994</v>
      </c>
      <c r="F17" s="7"/>
      <c r="G17" s="6">
        <v>16.75</v>
      </c>
      <c r="H17" s="7"/>
      <c r="I17" s="8">
        <f t="shared" si="0"/>
        <v>133.108</v>
      </c>
    </row>
    <row r="18" spans="1:9" ht="18.75" x14ac:dyDescent="0.3">
      <c r="A18" s="9">
        <f t="shared" si="1"/>
        <v>9200</v>
      </c>
      <c r="B18" s="9"/>
      <c r="C18" s="6">
        <f>+$C$5+6.2*5.78</f>
        <v>56.836000000000006</v>
      </c>
      <c r="D18" s="7"/>
      <c r="E18" s="6">
        <f>+$E$5+6.2*6</f>
        <v>60.7</v>
      </c>
      <c r="F18" s="7"/>
      <c r="G18" s="6">
        <v>16.75</v>
      </c>
      <c r="H18" s="7"/>
      <c r="I18" s="8">
        <f t="shared" si="0"/>
        <v>134.286</v>
      </c>
    </row>
    <row r="19" spans="1:9" ht="18.75" x14ac:dyDescent="0.3">
      <c r="A19" s="9">
        <f t="shared" si="1"/>
        <v>9300</v>
      </c>
      <c r="B19" s="9"/>
      <c r="C19" s="6">
        <f>+$C$5+6.3*5.78</f>
        <v>57.414000000000001</v>
      </c>
      <c r="D19" s="7"/>
      <c r="E19" s="6">
        <f>+$E$5+6.3*6</f>
        <v>61.3</v>
      </c>
      <c r="F19" s="7"/>
      <c r="G19" s="6">
        <v>16.75</v>
      </c>
      <c r="H19" s="7"/>
      <c r="I19" s="8">
        <f t="shared" si="0"/>
        <v>135.464</v>
      </c>
    </row>
    <row r="20" spans="1:9" ht="18.75" x14ac:dyDescent="0.3">
      <c r="A20" s="9">
        <f t="shared" si="1"/>
        <v>9400</v>
      </c>
      <c r="B20" s="9"/>
      <c r="C20" s="6">
        <f>+$C$5+6.4*5.78</f>
        <v>57.992000000000004</v>
      </c>
      <c r="D20" s="7"/>
      <c r="E20" s="6">
        <f>+$E$5+6.4*6</f>
        <v>61.900000000000006</v>
      </c>
      <c r="F20" s="7"/>
      <c r="G20" s="6">
        <v>16.75</v>
      </c>
      <c r="H20" s="7"/>
      <c r="I20" s="8">
        <f t="shared" si="0"/>
        <v>136.642</v>
      </c>
    </row>
    <row r="21" spans="1:9" ht="18.75" x14ac:dyDescent="0.3">
      <c r="A21" s="9">
        <f t="shared" si="1"/>
        <v>9500</v>
      </c>
      <c r="B21" s="9"/>
      <c r="C21" s="6">
        <f>+$C$5+6.5*5.78</f>
        <v>58.57</v>
      </c>
      <c r="D21" s="7"/>
      <c r="E21" s="6">
        <f>+$E$5+6.5*6</f>
        <v>62.5</v>
      </c>
      <c r="F21" s="7"/>
      <c r="G21" s="6">
        <v>16.75</v>
      </c>
      <c r="H21" s="7"/>
      <c r="I21" s="8">
        <f t="shared" si="0"/>
        <v>137.82</v>
      </c>
    </row>
    <row r="22" spans="1:9" ht="18.75" x14ac:dyDescent="0.3">
      <c r="A22" s="9">
        <f t="shared" si="1"/>
        <v>9600</v>
      </c>
      <c r="B22" s="9"/>
      <c r="C22" s="6">
        <f>+$C$5+6.6*5.78</f>
        <v>59.147999999999996</v>
      </c>
      <c r="D22" s="7"/>
      <c r="E22" s="6">
        <f>+$E$5+6.6*6</f>
        <v>63.099999999999994</v>
      </c>
      <c r="F22" s="7"/>
      <c r="G22" s="6">
        <v>16.75</v>
      </c>
      <c r="H22" s="7"/>
      <c r="I22" s="8">
        <f t="shared" si="0"/>
        <v>138.99799999999999</v>
      </c>
    </row>
    <row r="23" spans="1:9" ht="18.75" x14ac:dyDescent="0.3">
      <c r="A23" s="9">
        <f t="shared" si="1"/>
        <v>9700</v>
      </c>
      <c r="B23" s="9"/>
      <c r="C23" s="6">
        <f>+$C$5+6.7*5.78</f>
        <v>59.726000000000006</v>
      </c>
      <c r="D23" s="7"/>
      <c r="E23" s="6">
        <f>+$E$5+6.7*6</f>
        <v>63.7</v>
      </c>
      <c r="F23" s="7"/>
      <c r="G23" s="6">
        <v>16.75</v>
      </c>
      <c r="H23" s="7"/>
      <c r="I23" s="8">
        <f t="shared" si="0"/>
        <v>140.17600000000002</v>
      </c>
    </row>
    <row r="24" spans="1:9" ht="18.75" x14ac:dyDescent="0.3">
      <c r="A24" s="9">
        <f t="shared" si="1"/>
        <v>9800</v>
      </c>
      <c r="B24" s="9"/>
      <c r="C24" s="6">
        <f>+$C$5+6.8*5.78</f>
        <v>60.304000000000002</v>
      </c>
      <c r="D24" s="7"/>
      <c r="E24" s="6">
        <f>+$E$5+6.8*6</f>
        <v>64.3</v>
      </c>
      <c r="F24" s="7"/>
      <c r="G24" s="6">
        <v>16.75</v>
      </c>
      <c r="H24" s="7"/>
      <c r="I24" s="8">
        <f t="shared" si="0"/>
        <v>141.35399999999998</v>
      </c>
    </row>
    <row r="25" spans="1:9" ht="18.75" x14ac:dyDescent="0.3">
      <c r="A25" s="9">
        <f t="shared" si="1"/>
        <v>9900</v>
      </c>
      <c r="B25" s="9"/>
      <c r="C25" s="6">
        <f>+$C$5+6.9*5.78</f>
        <v>60.882000000000005</v>
      </c>
      <c r="D25" s="7"/>
      <c r="E25" s="6">
        <f>+$E$5+6.9*6</f>
        <v>64.900000000000006</v>
      </c>
      <c r="F25" s="7"/>
      <c r="G25" s="6">
        <v>16.75</v>
      </c>
      <c r="H25" s="7"/>
      <c r="I25" s="8">
        <f t="shared" si="0"/>
        <v>142.53200000000001</v>
      </c>
    </row>
    <row r="26" spans="1:9" ht="18.75" x14ac:dyDescent="0.3">
      <c r="A26" s="9">
        <f t="shared" si="1"/>
        <v>10000</v>
      </c>
      <c r="B26" s="9"/>
      <c r="C26" s="6">
        <f>+$C$5+7*5.78</f>
        <v>61.46</v>
      </c>
      <c r="D26" s="7"/>
      <c r="E26" s="6">
        <f>+$E$5+7*6</f>
        <v>65.5</v>
      </c>
      <c r="F26" s="7"/>
      <c r="G26" s="6">
        <v>16.75</v>
      </c>
      <c r="H26" s="7"/>
      <c r="I26" s="8">
        <f t="shared" si="0"/>
        <v>143.71</v>
      </c>
    </row>
    <row r="27" spans="1:9" ht="18.75" x14ac:dyDescent="0.3">
      <c r="A27" s="9">
        <f t="shared" si="1"/>
        <v>10100</v>
      </c>
      <c r="B27" s="9"/>
      <c r="C27" s="6">
        <f>+$C$5+7.1*5.78</f>
        <v>62.037999999999997</v>
      </c>
      <c r="D27" s="7"/>
      <c r="E27" s="6">
        <f>+$E$5+7.1*6</f>
        <v>66.099999999999994</v>
      </c>
      <c r="F27" s="7"/>
      <c r="G27" s="6">
        <v>16.75</v>
      </c>
      <c r="H27" s="7"/>
      <c r="I27" s="8">
        <f t="shared" si="0"/>
        <v>144.88799999999998</v>
      </c>
    </row>
    <row r="28" spans="1:9" ht="18.75" x14ac:dyDescent="0.3">
      <c r="A28" s="9">
        <f t="shared" si="1"/>
        <v>10200</v>
      </c>
      <c r="B28" s="9"/>
      <c r="C28" s="6">
        <f>+$C$5+7.2*5.78</f>
        <v>62.616</v>
      </c>
      <c r="D28" s="7"/>
      <c r="E28" s="6">
        <f>+$E$5+7.2*6</f>
        <v>66.7</v>
      </c>
      <c r="F28" s="7"/>
      <c r="G28" s="6">
        <v>16.75</v>
      </c>
      <c r="H28" s="7"/>
      <c r="I28" s="8">
        <f t="shared" si="0"/>
        <v>146.066</v>
      </c>
    </row>
    <row r="29" spans="1:9" ht="18.75" x14ac:dyDescent="0.3">
      <c r="A29" s="9">
        <f t="shared" si="1"/>
        <v>10300</v>
      </c>
      <c r="B29" s="9"/>
      <c r="C29" s="6">
        <f>+$C$5+7.3*5.78</f>
        <v>63.194000000000003</v>
      </c>
      <c r="D29" s="7"/>
      <c r="E29" s="6">
        <f>+$E$5+7.3*6</f>
        <v>67.3</v>
      </c>
      <c r="F29" s="7"/>
      <c r="G29" s="6">
        <v>16.75</v>
      </c>
      <c r="H29" s="7"/>
      <c r="I29" s="8">
        <f t="shared" si="0"/>
        <v>147.244</v>
      </c>
    </row>
    <row r="30" spans="1:9" ht="18.75" x14ac:dyDescent="0.3">
      <c r="A30" s="9">
        <f t="shared" si="1"/>
        <v>10400</v>
      </c>
      <c r="B30" s="9"/>
      <c r="C30" s="6">
        <f>+$C$5+7.4*5.78</f>
        <v>63.772000000000006</v>
      </c>
      <c r="D30" s="7"/>
      <c r="E30" s="6">
        <f>+$E$5+7.4*6</f>
        <v>67.900000000000006</v>
      </c>
      <c r="F30" s="7"/>
      <c r="G30" s="6">
        <v>16.75</v>
      </c>
      <c r="H30" s="7"/>
      <c r="I30" s="8">
        <f t="shared" si="0"/>
        <v>148.42200000000003</v>
      </c>
    </row>
    <row r="31" spans="1:9" ht="18.75" x14ac:dyDescent="0.3">
      <c r="A31" s="9">
        <f t="shared" si="1"/>
        <v>10500</v>
      </c>
      <c r="B31" s="9"/>
      <c r="C31" s="6">
        <f>+$C$5+7.5*5.78</f>
        <v>64.349999999999994</v>
      </c>
      <c r="D31" s="7"/>
      <c r="E31" s="6">
        <f>+$E$5+7.5*6</f>
        <v>68.5</v>
      </c>
      <c r="F31" s="7"/>
      <c r="G31" s="6">
        <v>16.75</v>
      </c>
      <c r="H31" s="7"/>
      <c r="I31" s="8">
        <f t="shared" si="0"/>
        <v>149.6</v>
      </c>
    </row>
    <row r="32" spans="1:9" ht="18.75" x14ac:dyDescent="0.3">
      <c r="A32" s="9">
        <f t="shared" si="1"/>
        <v>10600</v>
      </c>
      <c r="B32" s="9"/>
      <c r="C32" s="6">
        <f>+$C$5+7.6*5.78</f>
        <v>64.927999999999997</v>
      </c>
      <c r="D32" s="7"/>
      <c r="E32" s="6">
        <f>+$E$5+7.6*6</f>
        <v>69.099999999999994</v>
      </c>
      <c r="F32" s="7"/>
      <c r="G32" s="6">
        <v>16.75</v>
      </c>
      <c r="H32" s="7"/>
      <c r="I32" s="8">
        <f t="shared" si="0"/>
        <v>150.77799999999999</v>
      </c>
    </row>
    <row r="33" spans="1:9" ht="18.75" x14ac:dyDescent="0.3">
      <c r="A33" s="9">
        <f t="shared" si="1"/>
        <v>10700</v>
      </c>
      <c r="B33" s="9"/>
      <c r="C33" s="6">
        <f>+$C$5+7.7*5.78</f>
        <v>65.506</v>
      </c>
      <c r="D33" s="7"/>
      <c r="E33" s="6">
        <f>+$E$5+7.7*6</f>
        <v>69.7</v>
      </c>
      <c r="F33" s="7"/>
      <c r="G33" s="6">
        <v>16.75</v>
      </c>
      <c r="H33" s="7"/>
      <c r="I33" s="8">
        <f t="shared" si="0"/>
        <v>151.95600000000002</v>
      </c>
    </row>
    <row r="34" spans="1:9" ht="18.75" x14ac:dyDescent="0.3">
      <c r="A34" s="9">
        <f t="shared" si="1"/>
        <v>10800</v>
      </c>
      <c r="B34" s="9"/>
      <c r="C34" s="6">
        <f>+$C$5+7.8*5.78</f>
        <v>66.084000000000003</v>
      </c>
      <c r="D34" s="7"/>
      <c r="E34" s="6">
        <f>+$E$5+7.8*6</f>
        <v>70.3</v>
      </c>
      <c r="F34" s="7"/>
      <c r="G34" s="6">
        <v>16.75</v>
      </c>
      <c r="H34" s="7"/>
      <c r="I34" s="8">
        <f t="shared" si="0"/>
        <v>153.13400000000001</v>
      </c>
    </row>
    <row r="35" spans="1:9" ht="18.75" x14ac:dyDescent="0.3">
      <c r="A35" s="9">
        <f t="shared" si="1"/>
        <v>10900</v>
      </c>
      <c r="B35" s="9"/>
      <c r="C35" s="6">
        <f>+$C$5+7.9*5.78</f>
        <v>66.662000000000006</v>
      </c>
      <c r="D35" s="7"/>
      <c r="E35" s="6">
        <f>+$E$5+7.9*6</f>
        <v>70.900000000000006</v>
      </c>
      <c r="F35" s="7"/>
      <c r="G35" s="6">
        <v>16.75</v>
      </c>
      <c r="H35" s="7"/>
      <c r="I35" s="8">
        <f t="shared" si="0"/>
        <v>154.31200000000001</v>
      </c>
    </row>
    <row r="36" spans="1:9" ht="18.75" x14ac:dyDescent="0.3">
      <c r="A36" s="9">
        <f t="shared" si="1"/>
        <v>11000</v>
      </c>
      <c r="B36" s="9"/>
      <c r="C36" s="6">
        <f>+$C$5+8*5.78</f>
        <v>67.240000000000009</v>
      </c>
      <c r="D36" s="7"/>
      <c r="E36" s="6">
        <f>+$E$5+8*6</f>
        <v>71.5</v>
      </c>
      <c r="F36" s="7"/>
      <c r="G36" s="6">
        <v>16.75</v>
      </c>
      <c r="H36" s="7"/>
      <c r="I36" s="8">
        <f t="shared" si="0"/>
        <v>155.49</v>
      </c>
    </row>
    <row r="37" spans="1:9" ht="18.75" x14ac:dyDescent="0.3">
      <c r="A37" s="9">
        <f t="shared" si="1"/>
        <v>11100</v>
      </c>
      <c r="B37" s="9"/>
      <c r="C37" s="6">
        <f>+$C$5+8.1*5.78</f>
        <v>67.817999999999998</v>
      </c>
      <c r="D37" s="7"/>
      <c r="E37" s="6">
        <f>+$E$5+8.1*6</f>
        <v>72.099999999999994</v>
      </c>
      <c r="F37" s="7"/>
      <c r="G37" s="6">
        <v>16.75</v>
      </c>
      <c r="H37" s="7"/>
      <c r="I37" s="8">
        <f t="shared" si="0"/>
        <v>156.66800000000001</v>
      </c>
    </row>
    <row r="38" spans="1:9" ht="18.75" x14ac:dyDescent="0.3">
      <c r="A38" s="9">
        <f t="shared" si="1"/>
        <v>11200</v>
      </c>
      <c r="B38" s="9"/>
      <c r="C38" s="6">
        <f>+$C$5+8.2*5.78</f>
        <v>68.396000000000001</v>
      </c>
      <c r="D38" s="7"/>
      <c r="E38" s="6">
        <f>+$E$5+8.2*6</f>
        <v>72.699999999999989</v>
      </c>
      <c r="F38" s="7"/>
      <c r="G38" s="6">
        <v>16.75</v>
      </c>
      <c r="H38" s="7"/>
      <c r="I38" s="8">
        <f t="shared" si="0"/>
        <v>157.846</v>
      </c>
    </row>
    <row r="39" spans="1:9" ht="18.75" x14ac:dyDescent="0.3">
      <c r="A39" s="9">
        <f t="shared" si="1"/>
        <v>11300</v>
      </c>
      <c r="B39" s="9"/>
      <c r="C39" s="6">
        <f>+$C$5+8.3*5.78</f>
        <v>68.974000000000004</v>
      </c>
      <c r="D39" s="7"/>
      <c r="E39" s="6">
        <f>+$E$5+8.3*6</f>
        <v>73.300000000000011</v>
      </c>
      <c r="F39" s="7"/>
      <c r="G39" s="6">
        <v>16.75</v>
      </c>
      <c r="H39" s="7"/>
      <c r="I39" s="8">
        <f t="shared" si="0"/>
        <v>159.024</v>
      </c>
    </row>
    <row r="40" spans="1:9" ht="18.75" x14ac:dyDescent="0.3">
      <c r="A40" s="9">
        <f t="shared" si="1"/>
        <v>11400</v>
      </c>
      <c r="B40" s="9"/>
      <c r="C40" s="6">
        <f>+$C$5+8.4*5.783</f>
        <v>69.577200000000005</v>
      </c>
      <c r="D40" s="7"/>
      <c r="E40" s="6">
        <f>+$E$5+8.4*6</f>
        <v>73.900000000000006</v>
      </c>
      <c r="F40" s="7"/>
      <c r="G40" s="6">
        <v>16.75</v>
      </c>
      <c r="H40" s="7"/>
      <c r="I40" s="8">
        <f t="shared" si="0"/>
        <v>160.22720000000001</v>
      </c>
    </row>
    <row r="41" spans="1:9" ht="18.75" x14ac:dyDescent="0.3">
      <c r="A41" s="9">
        <f t="shared" si="1"/>
        <v>11500</v>
      </c>
      <c r="B41" s="9"/>
      <c r="C41" s="6">
        <f>+$C$5+8.5*5.78</f>
        <v>70.13</v>
      </c>
      <c r="D41" s="7"/>
      <c r="E41" s="6">
        <f>+$E$5+8.5*6</f>
        <v>74.5</v>
      </c>
      <c r="F41" s="7"/>
      <c r="G41" s="6">
        <v>16.75</v>
      </c>
      <c r="H41" s="7"/>
      <c r="I41" s="8">
        <f t="shared" si="0"/>
        <v>161.38</v>
      </c>
    </row>
    <row r="42" spans="1:9" ht="18.75" x14ac:dyDescent="0.3">
      <c r="A42" s="9">
        <f t="shared" si="1"/>
        <v>11600</v>
      </c>
      <c r="B42" s="9"/>
      <c r="C42" s="6">
        <f>+$C$5+8.6*5.78</f>
        <v>70.707999999999998</v>
      </c>
      <c r="D42" s="7"/>
      <c r="E42" s="6">
        <f>+$E$5+8.6*6</f>
        <v>75.099999999999994</v>
      </c>
      <c r="F42" s="7"/>
      <c r="G42" s="6">
        <v>16.75</v>
      </c>
      <c r="H42" s="7"/>
      <c r="I42" s="8">
        <f t="shared" si="0"/>
        <v>162.55799999999999</v>
      </c>
    </row>
    <row r="43" spans="1:9" ht="18.75" x14ac:dyDescent="0.3">
      <c r="A43" s="9">
        <f t="shared" si="1"/>
        <v>11700</v>
      </c>
      <c r="B43" s="9"/>
      <c r="C43" s="6">
        <f>+$C$5+8.7*5.78</f>
        <v>71.286000000000001</v>
      </c>
      <c r="D43" s="7"/>
      <c r="E43" s="6">
        <f>+$E$5+8.7*6</f>
        <v>75.699999999999989</v>
      </c>
      <c r="F43" s="7"/>
      <c r="G43" s="6">
        <v>16.75</v>
      </c>
      <c r="H43" s="7"/>
      <c r="I43" s="8">
        <f t="shared" si="0"/>
        <v>163.73599999999999</v>
      </c>
    </row>
    <row r="44" spans="1:9" ht="18.75" x14ac:dyDescent="0.3">
      <c r="A44" s="9">
        <f t="shared" si="1"/>
        <v>11800</v>
      </c>
      <c r="B44" s="9"/>
      <c r="C44" s="6">
        <f>+$C$5+8.8*5.78</f>
        <v>71.864000000000004</v>
      </c>
      <c r="D44" s="7"/>
      <c r="E44" s="6">
        <f>+$E$5+8.8*6</f>
        <v>76.300000000000011</v>
      </c>
      <c r="F44" s="7"/>
      <c r="G44" s="6">
        <v>16.75</v>
      </c>
      <c r="H44" s="7"/>
      <c r="I44" s="8">
        <f t="shared" si="0"/>
        <v>164.91400000000002</v>
      </c>
    </row>
    <row r="45" spans="1:9" ht="18.75" x14ac:dyDescent="0.3">
      <c r="A45" s="9">
        <f t="shared" si="1"/>
        <v>11900</v>
      </c>
      <c r="B45" s="9"/>
      <c r="C45" s="6">
        <f>+$C$5+8.9*5.78</f>
        <v>72.442000000000007</v>
      </c>
      <c r="D45" s="7"/>
      <c r="E45" s="6">
        <f>+$E$5+8.9*6</f>
        <v>76.900000000000006</v>
      </c>
      <c r="F45" s="7"/>
      <c r="G45" s="6">
        <v>16.75</v>
      </c>
      <c r="H45" s="7"/>
      <c r="I45" s="8">
        <f t="shared" si="0"/>
        <v>166.09200000000001</v>
      </c>
    </row>
    <row r="46" spans="1:9" ht="18.75" x14ac:dyDescent="0.3">
      <c r="A46" s="9">
        <f t="shared" si="1"/>
        <v>12000</v>
      </c>
      <c r="B46" s="9"/>
      <c r="C46" s="6">
        <f>+$C$5+9*5.78</f>
        <v>73.02000000000001</v>
      </c>
      <c r="D46" s="7"/>
      <c r="E46" s="6">
        <f>+$E$5+9*6</f>
        <v>77.5</v>
      </c>
      <c r="F46" s="7"/>
      <c r="G46" s="6">
        <v>16.75</v>
      </c>
      <c r="H46" s="7"/>
      <c r="I46" s="8">
        <f t="shared" si="0"/>
        <v>167.27</v>
      </c>
    </row>
    <row r="47" spans="1:9" ht="18.75" x14ac:dyDescent="0.3">
      <c r="A47" s="9">
        <f t="shared" si="1"/>
        <v>12100</v>
      </c>
      <c r="B47" s="9"/>
      <c r="C47" s="6">
        <f>+$C$5+9.1*5.78</f>
        <v>73.597999999999999</v>
      </c>
      <c r="D47" s="7"/>
      <c r="E47" s="6">
        <v>79.87</v>
      </c>
      <c r="F47" s="7"/>
      <c r="G47" s="6">
        <v>16.75</v>
      </c>
      <c r="H47" s="7"/>
      <c r="I47" s="8">
        <f t="shared" si="0"/>
        <v>170.21800000000002</v>
      </c>
    </row>
    <row r="48" spans="1:9" ht="18.75" x14ac:dyDescent="0.3">
      <c r="A48" s="9">
        <f t="shared" si="1"/>
        <v>12200</v>
      </c>
      <c r="B48" s="9"/>
      <c r="C48" s="6">
        <f>+$C$5+9.2*5.78</f>
        <v>74.175999999999988</v>
      </c>
      <c r="D48" s="7"/>
      <c r="E48" s="6">
        <v>79.87</v>
      </c>
      <c r="F48" s="7"/>
      <c r="G48" s="6">
        <v>16.75</v>
      </c>
      <c r="H48" s="7"/>
      <c r="I48" s="8">
        <f t="shared" si="0"/>
        <v>170.79599999999999</v>
      </c>
    </row>
    <row r="49" spans="1:9" ht="18.75" x14ac:dyDescent="0.3">
      <c r="A49" s="9">
        <f t="shared" si="1"/>
        <v>12300</v>
      </c>
      <c r="B49" s="9"/>
      <c r="C49" s="6">
        <f>+$C$5+9.3*5.78</f>
        <v>74.754000000000005</v>
      </c>
      <c r="D49" s="7"/>
      <c r="E49" s="6">
        <v>79.87</v>
      </c>
      <c r="F49" s="7"/>
      <c r="G49" s="6">
        <v>16.75</v>
      </c>
      <c r="H49" s="7"/>
      <c r="I49" s="8">
        <f t="shared" si="0"/>
        <v>171.37400000000002</v>
      </c>
    </row>
    <row r="50" spans="1:9" ht="18.75" x14ac:dyDescent="0.3">
      <c r="A50" s="9">
        <f t="shared" si="1"/>
        <v>12400</v>
      </c>
      <c r="B50" s="9"/>
      <c r="C50" s="6">
        <f>+$C$5+9.4*5.783</f>
        <v>75.360200000000006</v>
      </c>
      <c r="D50" s="7"/>
      <c r="E50" s="6">
        <v>79.87</v>
      </c>
      <c r="F50" s="7"/>
      <c r="G50" s="6">
        <v>16.75</v>
      </c>
      <c r="H50" s="7"/>
      <c r="I50" s="8">
        <f t="shared" si="0"/>
        <v>171.98020000000002</v>
      </c>
    </row>
    <row r="51" spans="1:9" ht="18.75" x14ac:dyDescent="0.3">
      <c r="A51" s="9">
        <f t="shared" si="1"/>
        <v>12500</v>
      </c>
      <c r="B51" s="9"/>
      <c r="C51" s="6">
        <f>+$C$5+9.5*5.78</f>
        <v>75.91</v>
      </c>
      <c r="D51" s="7"/>
      <c r="E51" s="6">
        <v>79.87</v>
      </c>
      <c r="F51" s="7"/>
      <c r="G51" s="6">
        <v>16.75</v>
      </c>
      <c r="H51" s="7"/>
      <c r="I51" s="8">
        <f t="shared" si="0"/>
        <v>172.53</v>
      </c>
    </row>
    <row r="52" spans="1:9" ht="18.75" x14ac:dyDescent="0.3">
      <c r="A52" s="9">
        <f t="shared" si="1"/>
        <v>12600</v>
      </c>
      <c r="B52" s="9"/>
      <c r="C52" s="6">
        <f>+$C$5+9.6*5.78</f>
        <v>76.488</v>
      </c>
      <c r="D52" s="7"/>
      <c r="E52" s="6">
        <v>79.87</v>
      </c>
      <c r="F52" s="7"/>
      <c r="G52" s="6">
        <v>16.75</v>
      </c>
      <c r="H52" s="7"/>
      <c r="I52" s="8">
        <f t="shared" si="0"/>
        <v>173.108</v>
      </c>
    </row>
    <row r="53" spans="1:9" ht="18.75" x14ac:dyDescent="0.3">
      <c r="A53" s="9">
        <f t="shared" si="1"/>
        <v>12700</v>
      </c>
      <c r="B53" s="9"/>
      <c r="C53" s="6">
        <f>+$C$5+9.7*5.78</f>
        <v>77.066000000000003</v>
      </c>
      <c r="D53" s="7"/>
      <c r="E53" s="6">
        <v>79.87</v>
      </c>
      <c r="F53" s="7"/>
      <c r="G53" s="6">
        <v>16.75</v>
      </c>
      <c r="H53" s="7"/>
      <c r="I53" s="8">
        <f t="shared" si="0"/>
        <v>173.68600000000001</v>
      </c>
    </row>
    <row r="54" spans="1:9" ht="18.75" x14ac:dyDescent="0.3">
      <c r="A54" s="9">
        <f t="shared" si="1"/>
        <v>12800</v>
      </c>
      <c r="B54" s="9"/>
      <c r="C54" s="6">
        <f>+$C$5+9.8*5.78</f>
        <v>77.644000000000005</v>
      </c>
      <c r="D54" s="7"/>
      <c r="E54" s="6">
        <v>79.87</v>
      </c>
      <c r="F54" s="7"/>
      <c r="G54" s="6">
        <v>16.75</v>
      </c>
      <c r="H54" s="7"/>
      <c r="I54" s="8">
        <f t="shared" si="0"/>
        <v>174.26400000000001</v>
      </c>
    </row>
    <row r="55" spans="1:9" ht="18.75" x14ac:dyDescent="0.3">
      <c r="A55" s="9">
        <f t="shared" si="1"/>
        <v>12900</v>
      </c>
      <c r="B55" s="9"/>
      <c r="C55" s="6">
        <f>+$C$5+9.9*5.78</f>
        <v>78.222000000000008</v>
      </c>
      <c r="D55" s="7"/>
      <c r="E55" s="6">
        <v>79.87</v>
      </c>
      <c r="F55" s="7"/>
      <c r="G55" s="6">
        <v>16.75</v>
      </c>
      <c r="H55" s="7"/>
      <c r="I55" s="8">
        <f t="shared" si="0"/>
        <v>174.84200000000001</v>
      </c>
    </row>
    <row r="56" spans="1:9" ht="18.75" x14ac:dyDescent="0.3">
      <c r="A56" s="9"/>
      <c r="B56" s="9"/>
      <c r="C56" s="6"/>
      <c r="D56" s="7"/>
      <c r="E56" s="6"/>
      <c r="F56" s="7"/>
      <c r="G56" s="6"/>
      <c r="H56" s="7"/>
      <c r="I56" s="8"/>
    </row>
  </sheetData>
  <mergeCells count="3">
    <mergeCell ref="A1:I1"/>
    <mergeCell ref="A2:I2"/>
    <mergeCell ref="A3:I3"/>
  </mergeCells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6"/>
  <sheetViews>
    <sheetView workbookViewId="0">
      <selection activeCell="A4" sqref="A4:XFD6"/>
    </sheetView>
  </sheetViews>
  <sheetFormatPr defaultRowHeight="15" x14ac:dyDescent="0.25"/>
  <sheetData>
    <row r="1" spans="1:9" ht="18.75" x14ac:dyDescent="0.3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9" ht="18.75" x14ac:dyDescent="0.3">
      <c r="A2" s="13" t="s">
        <v>6</v>
      </c>
      <c r="B2" s="13"/>
      <c r="C2" s="13"/>
      <c r="D2" s="13"/>
      <c r="E2" s="13"/>
      <c r="F2" s="13"/>
      <c r="G2" s="13"/>
      <c r="H2" s="13"/>
      <c r="I2" s="13"/>
    </row>
    <row r="3" spans="1:9" ht="18.75" x14ac:dyDescent="0.3">
      <c r="A3" s="14" t="s">
        <v>9</v>
      </c>
      <c r="B3" s="14"/>
      <c r="C3" s="14"/>
      <c r="D3" s="14"/>
      <c r="E3" s="14"/>
      <c r="F3" s="14"/>
      <c r="G3" s="14"/>
      <c r="H3" s="14"/>
      <c r="I3" s="14"/>
    </row>
    <row r="4" spans="1:9" ht="18.75" x14ac:dyDescent="0.3">
      <c r="A4" s="1" t="s">
        <v>4</v>
      </c>
      <c r="B4" s="1"/>
      <c r="C4" s="2" t="s">
        <v>0</v>
      </c>
      <c r="D4" s="3"/>
      <c r="E4" s="2" t="s">
        <v>1</v>
      </c>
      <c r="F4" s="3"/>
      <c r="G4" s="2" t="s">
        <v>2</v>
      </c>
      <c r="H4" s="3"/>
      <c r="I4" s="4" t="s">
        <v>3</v>
      </c>
    </row>
    <row r="5" spans="1:9" ht="18.75" hidden="1" x14ac:dyDescent="0.3">
      <c r="A5" s="5"/>
      <c r="B5" s="5"/>
      <c r="C5" s="6">
        <v>21</v>
      </c>
      <c r="D5" s="7"/>
      <c r="E5" s="6">
        <v>23.5</v>
      </c>
      <c r="F5" s="7"/>
      <c r="G5" s="6"/>
      <c r="H5" s="7"/>
      <c r="I5" s="8"/>
    </row>
    <row r="6" spans="1:9" ht="18.75" x14ac:dyDescent="0.3">
      <c r="A6" s="9">
        <v>13000</v>
      </c>
      <c r="B6" s="9"/>
      <c r="C6" s="6">
        <f>+$C$5+10*5.78</f>
        <v>78.800000000000011</v>
      </c>
      <c r="D6" s="7"/>
      <c r="E6" s="6">
        <v>79.87</v>
      </c>
      <c r="F6" s="7"/>
      <c r="G6" s="6">
        <v>16.75</v>
      </c>
      <c r="H6" s="7"/>
      <c r="I6" s="8">
        <f t="shared" ref="I6:I55" si="0">SUM(C6:G6)</f>
        <v>175.42000000000002</v>
      </c>
    </row>
    <row r="7" spans="1:9" ht="18.75" x14ac:dyDescent="0.3">
      <c r="A7" s="9">
        <f>+A6+100</f>
        <v>13100</v>
      </c>
      <c r="B7" s="9"/>
      <c r="C7" s="6">
        <f>+$C$5+10.1*5.78</f>
        <v>79.378</v>
      </c>
      <c r="D7" s="7"/>
      <c r="E7" s="6">
        <v>79.87</v>
      </c>
      <c r="F7" s="7"/>
      <c r="G7" s="6">
        <v>16.75</v>
      </c>
      <c r="H7" s="7"/>
      <c r="I7" s="8">
        <f t="shared" si="0"/>
        <v>175.99799999999999</v>
      </c>
    </row>
    <row r="8" spans="1:9" ht="18.75" x14ac:dyDescent="0.3">
      <c r="A8" s="9">
        <f t="shared" ref="A8:A55" si="1">+A7+100</f>
        <v>13200</v>
      </c>
      <c r="B8" s="9"/>
      <c r="C8" s="6">
        <f>+$C$5+10.2*5.78</f>
        <v>79.955999999999989</v>
      </c>
      <c r="D8" s="7"/>
      <c r="E8" s="6">
        <v>79.87</v>
      </c>
      <c r="F8" s="7"/>
      <c r="G8" s="6">
        <v>16.75</v>
      </c>
      <c r="H8" s="7"/>
      <c r="I8" s="8">
        <f t="shared" si="0"/>
        <v>176.57599999999999</v>
      </c>
    </row>
    <row r="9" spans="1:9" ht="18.75" x14ac:dyDescent="0.3">
      <c r="A9" s="9">
        <f t="shared" si="1"/>
        <v>13300</v>
      </c>
      <c r="B9" s="9"/>
      <c r="C9" s="6">
        <f>+$C$5+10.3*5.78</f>
        <v>80.534000000000006</v>
      </c>
      <c r="D9" s="7"/>
      <c r="E9" s="6">
        <v>79.87</v>
      </c>
      <c r="F9" s="7"/>
      <c r="G9" s="6">
        <v>16.75</v>
      </c>
      <c r="H9" s="7"/>
      <c r="I9" s="8">
        <f t="shared" si="0"/>
        <v>177.154</v>
      </c>
    </row>
    <row r="10" spans="1:9" ht="18.75" x14ac:dyDescent="0.3">
      <c r="A10" s="9">
        <f t="shared" si="1"/>
        <v>13400</v>
      </c>
      <c r="B10" s="9"/>
      <c r="C10" s="6">
        <f>+$C$5+10.4*5.78</f>
        <v>81.111999999999995</v>
      </c>
      <c r="D10" s="7"/>
      <c r="E10" s="6">
        <v>79.87</v>
      </c>
      <c r="F10" s="7"/>
      <c r="G10" s="6">
        <v>16.75</v>
      </c>
      <c r="H10" s="7"/>
      <c r="I10" s="8">
        <f t="shared" si="0"/>
        <v>177.732</v>
      </c>
    </row>
    <row r="11" spans="1:9" ht="18.75" x14ac:dyDescent="0.3">
      <c r="A11" s="9">
        <f t="shared" si="1"/>
        <v>13500</v>
      </c>
      <c r="B11" s="9"/>
      <c r="C11" s="6">
        <f>+$C$5+10.5*5.78</f>
        <v>81.69</v>
      </c>
      <c r="D11" s="7"/>
      <c r="E11" s="6">
        <v>79.87</v>
      </c>
      <c r="F11" s="7"/>
      <c r="G11" s="6">
        <v>16.75</v>
      </c>
      <c r="H11" s="7"/>
      <c r="I11" s="8">
        <f t="shared" si="0"/>
        <v>178.31</v>
      </c>
    </row>
    <row r="12" spans="1:9" ht="18.75" x14ac:dyDescent="0.3">
      <c r="A12" s="9">
        <f t="shared" si="1"/>
        <v>13600</v>
      </c>
      <c r="B12" s="9"/>
      <c r="C12" s="6">
        <f>+$C$5+10.6*5.78</f>
        <v>82.268000000000001</v>
      </c>
      <c r="D12" s="7"/>
      <c r="E12" s="6">
        <v>79.87</v>
      </c>
      <c r="F12" s="7"/>
      <c r="G12" s="6">
        <v>16.75</v>
      </c>
      <c r="H12" s="7"/>
      <c r="I12" s="8">
        <f t="shared" si="0"/>
        <v>178.88800000000001</v>
      </c>
    </row>
    <row r="13" spans="1:9" ht="18.75" x14ac:dyDescent="0.3">
      <c r="A13" s="9">
        <f t="shared" si="1"/>
        <v>13700</v>
      </c>
      <c r="B13" s="9"/>
      <c r="C13" s="6">
        <f>+$C$5+10.7*5.78</f>
        <v>82.846000000000004</v>
      </c>
      <c r="D13" s="7"/>
      <c r="E13" s="6">
        <v>79.87</v>
      </c>
      <c r="F13" s="7"/>
      <c r="G13" s="6">
        <v>16.75</v>
      </c>
      <c r="H13" s="7"/>
      <c r="I13" s="8">
        <f t="shared" si="0"/>
        <v>179.46600000000001</v>
      </c>
    </row>
    <row r="14" spans="1:9" ht="18.75" x14ac:dyDescent="0.3">
      <c r="A14" s="9">
        <f t="shared" si="1"/>
        <v>13800</v>
      </c>
      <c r="B14" s="9"/>
      <c r="C14" s="6">
        <f>+$C$5+10.8*5.78</f>
        <v>83.424000000000007</v>
      </c>
      <c r="D14" s="7"/>
      <c r="E14" s="6">
        <v>79.87</v>
      </c>
      <c r="F14" s="7"/>
      <c r="G14" s="6">
        <v>16.75</v>
      </c>
      <c r="H14" s="7"/>
      <c r="I14" s="8">
        <f t="shared" si="0"/>
        <v>180.04400000000001</v>
      </c>
    </row>
    <row r="15" spans="1:9" ht="18.75" x14ac:dyDescent="0.3">
      <c r="A15" s="9">
        <f t="shared" si="1"/>
        <v>13900</v>
      </c>
      <c r="B15" s="9"/>
      <c r="C15" s="6">
        <f>+$C$5+10.9*5.78</f>
        <v>84.00200000000001</v>
      </c>
      <c r="D15" s="7"/>
      <c r="E15" s="6">
        <v>79.87</v>
      </c>
      <c r="F15" s="7"/>
      <c r="G15" s="6">
        <v>16.75</v>
      </c>
      <c r="H15" s="7"/>
      <c r="I15" s="8">
        <f t="shared" si="0"/>
        <v>180.62200000000001</v>
      </c>
    </row>
    <row r="16" spans="1:9" ht="18.75" x14ac:dyDescent="0.3">
      <c r="A16" s="9">
        <f t="shared" si="1"/>
        <v>14000</v>
      </c>
      <c r="B16" s="9"/>
      <c r="C16" s="6">
        <f>+$C$5+11*5.78</f>
        <v>84.580000000000013</v>
      </c>
      <c r="D16" s="7"/>
      <c r="E16" s="6">
        <v>79.87</v>
      </c>
      <c r="F16" s="7"/>
      <c r="G16" s="6">
        <v>16.75</v>
      </c>
      <c r="H16" s="7"/>
      <c r="I16" s="8">
        <f t="shared" si="0"/>
        <v>181.20000000000002</v>
      </c>
    </row>
    <row r="17" spans="1:9" ht="18.75" x14ac:dyDescent="0.3">
      <c r="A17" s="9">
        <f t="shared" si="1"/>
        <v>14100</v>
      </c>
      <c r="B17" s="9"/>
      <c r="C17" s="6">
        <f>+$C$5+11.1*5.78</f>
        <v>85.158000000000001</v>
      </c>
      <c r="D17" s="7"/>
      <c r="E17" s="6">
        <v>79.87</v>
      </c>
      <c r="F17" s="7"/>
      <c r="G17" s="6">
        <v>16.75</v>
      </c>
      <c r="H17" s="7"/>
      <c r="I17" s="8">
        <f t="shared" si="0"/>
        <v>181.77800000000002</v>
      </c>
    </row>
    <row r="18" spans="1:9" ht="18.75" x14ac:dyDescent="0.3">
      <c r="A18" s="9">
        <f t="shared" si="1"/>
        <v>14200</v>
      </c>
      <c r="B18" s="9"/>
      <c r="C18" s="6">
        <f>+$C$5+11.2*5.78</f>
        <v>85.736000000000004</v>
      </c>
      <c r="D18" s="7"/>
      <c r="E18" s="6">
        <v>79.87</v>
      </c>
      <c r="F18" s="7"/>
      <c r="G18" s="6">
        <v>16.75</v>
      </c>
      <c r="H18" s="7"/>
      <c r="I18" s="8">
        <f t="shared" si="0"/>
        <v>182.35599999999999</v>
      </c>
    </row>
    <row r="19" spans="1:9" ht="18.75" x14ac:dyDescent="0.3">
      <c r="A19" s="9">
        <f t="shared" si="1"/>
        <v>14300</v>
      </c>
      <c r="B19" s="9"/>
      <c r="C19" s="6">
        <f>+$C$5+11.3*5.78</f>
        <v>86.314000000000007</v>
      </c>
      <c r="D19" s="7"/>
      <c r="E19" s="6">
        <v>79.87</v>
      </c>
      <c r="F19" s="7"/>
      <c r="G19" s="6">
        <v>16.75</v>
      </c>
      <c r="H19" s="7"/>
      <c r="I19" s="8">
        <f t="shared" si="0"/>
        <v>182.93400000000003</v>
      </c>
    </row>
    <row r="20" spans="1:9" ht="18.75" x14ac:dyDescent="0.3">
      <c r="A20" s="9">
        <f t="shared" si="1"/>
        <v>14400</v>
      </c>
      <c r="B20" s="9"/>
      <c r="C20" s="6">
        <f>+$C$5+11.4*5.78</f>
        <v>86.89200000000001</v>
      </c>
      <c r="D20" s="7"/>
      <c r="E20" s="6">
        <v>79.87</v>
      </c>
      <c r="F20" s="7"/>
      <c r="G20" s="6">
        <v>16.75</v>
      </c>
      <c r="H20" s="7"/>
      <c r="I20" s="8">
        <f t="shared" si="0"/>
        <v>183.512</v>
      </c>
    </row>
    <row r="21" spans="1:9" ht="18.75" x14ac:dyDescent="0.3">
      <c r="A21" s="9">
        <f t="shared" si="1"/>
        <v>14500</v>
      </c>
      <c r="B21" s="9"/>
      <c r="C21" s="6">
        <f>+$C$5+11.5*5.78</f>
        <v>87.47</v>
      </c>
      <c r="D21" s="7"/>
      <c r="E21" s="6">
        <v>79.87</v>
      </c>
      <c r="F21" s="7"/>
      <c r="G21" s="6">
        <v>16.75</v>
      </c>
      <c r="H21" s="7"/>
      <c r="I21" s="8">
        <f t="shared" si="0"/>
        <v>184.09</v>
      </c>
    </row>
    <row r="22" spans="1:9" ht="18.75" x14ac:dyDescent="0.3">
      <c r="A22" s="9">
        <f t="shared" si="1"/>
        <v>14600</v>
      </c>
      <c r="B22" s="9"/>
      <c r="C22" s="6">
        <f>+$C$5+11.6*5.78</f>
        <v>88.048000000000002</v>
      </c>
      <c r="D22" s="7"/>
      <c r="E22" s="6">
        <v>79.87</v>
      </c>
      <c r="F22" s="7"/>
      <c r="G22" s="6">
        <v>16.75</v>
      </c>
      <c r="H22" s="7"/>
      <c r="I22" s="8">
        <f t="shared" si="0"/>
        <v>184.66800000000001</v>
      </c>
    </row>
    <row r="23" spans="1:9" ht="18.75" x14ac:dyDescent="0.3">
      <c r="A23" s="9">
        <f t="shared" si="1"/>
        <v>14700</v>
      </c>
      <c r="B23" s="9"/>
      <c r="C23" s="6">
        <f>+$C$5+11.7*5.78</f>
        <v>88.626000000000005</v>
      </c>
      <c r="D23" s="7"/>
      <c r="E23" s="6">
        <v>79.87</v>
      </c>
      <c r="F23" s="7"/>
      <c r="G23" s="6">
        <v>16.75</v>
      </c>
      <c r="H23" s="7"/>
      <c r="I23" s="8">
        <f t="shared" si="0"/>
        <v>185.24600000000001</v>
      </c>
    </row>
    <row r="24" spans="1:9" ht="18.75" x14ac:dyDescent="0.3">
      <c r="A24" s="9">
        <f t="shared" si="1"/>
        <v>14800</v>
      </c>
      <c r="B24" s="9"/>
      <c r="C24" s="6">
        <f>+$C$5+11.8*5.78</f>
        <v>89.204000000000008</v>
      </c>
      <c r="D24" s="7"/>
      <c r="E24" s="6">
        <v>79.87</v>
      </c>
      <c r="F24" s="7"/>
      <c r="G24" s="6">
        <v>16.75</v>
      </c>
      <c r="H24" s="7"/>
      <c r="I24" s="8">
        <f t="shared" si="0"/>
        <v>185.82400000000001</v>
      </c>
    </row>
    <row r="25" spans="1:9" ht="18.75" x14ac:dyDescent="0.3">
      <c r="A25" s="9">
        <f t="shared" si="1"/>
        <v>14900</v>
      </c>
      <c r="B25" s="9"/>
      <c r="C25" s="6">
        <f>+$C$5+11.9*5.78</f>
        <v>89.782000000000011</v>
      </c>
      <c r="D25" s="7"/>
      <c r="E25" s="6">
        <v>79.87</v>
      </c>
      <c r="F25" s="7"/>
      <c r="G25" s="6">
        <v>16.75</v>
      </c>
      <c r="H25" s="7"/>
      <c r="I25" s="8">
        <f t="shared" si="0"/>
        <v>186.40200000000002</v>
      </c>
    </row>
    <row r="26" spans="1:9" ht="18.75" x14ac:dyDescent="0.3">
      <c r="A26" s="9">
        <f t="shared" si="1"/>
        <v>15000</v>
      </c>
      <c r="B26" s="9"/>
      <c r="C26" s="6">
        <f>+$C$5+12*5.78</f>
        <v>90.36</v>
      </c>
      <c r="D26" s="7"/>
      <c r="E26" s="6">
        <v>79.87</v>
      </c>
      <c r="F26" s="7"/>
      <c r="G26" s="6">
        <v>16.75</v>
      </c>
      <c r="H26" s="7"/>
      <c r="I26" s="8">
        <f t="shared" si="0"/>
        <v>186.98000000000002</v>
      </c>
    </row>
    <row r="27" spans="1:9" ht="18.75" x14ac:dyDescent="0.3">
      <c r="A27" s="9">
        <f t="shared" si="1"/>
        <v>15100</v>
      </c>
      <c r="B27" s="9"/>
      <c r="C27" s="6">
        <f>+$C$5+12.1*5.78</f>
        <v>90.938000000000002</v>
      </c>
      <c r="D27" s="7"/>
      <c r="E27" s="6">
        <v>79.87</v>
      </c>
      <c r="F27" s="7"/>
      <c r="G27" s="6">
        <v>16.75</v>
      </c>
      <c r="H27" s="7"/>
      <c r="I27" s="8">
        <f t="shared" si="0"/>
        <v>187.55799999999999</v>
      </c>
    </row>
    <row r="28" spans="1:9" ht="18.75" x14ac:dyDescent="0.3">
      <c r="A28" s="9">
        <f t="shared" si="1"/>
        <v>15200</v>
      </c>
      <c r="B28" s="9"/>
      <c r="C28" s="6">
        <f>+$C$5+12.2*5.78</f>
        <v>91.516000000000005</v>
      </c>
      <c r="D28" s="7"/>
      <c r="E28" s="6">
        <v>79.87</v>
      </c>
      <c r="F28" s="7"/>
      <c r="G28" s="6">
        <v>16.75</v>
      </c>
      <c r="H28" s="7"/>
      <c r="I28" s="8">
        <f t="shared" si="0"/>
        <v>188.13600000000002</v>
      </c>
    </row>
    <row r="29" spans="1:9" ht="18.75" x14ac:dyDescent="0.3">
      <c r="A29" s="9">
        <f t="shared" si="1"/>
        <v>15300</v>
      </c>
      <c r="B29" s="9"/>
      <c r="C29" s="6">
        <f>+$C$5+12.3*5.78</f>
        <v>92.094000000000008</v>
      </c>
      <c r="D29" s="7"/>
      <c r="E29" s="6">
        <v>79.87</v>
      </c>
      <c r="F29" s="7"/>
      <c r="G29" s="6">
        <v>16.75</v>
      </c>
      <c r="H29" s="7"/>
      <c r="I29" s="8">
        <f t="shared" si="0"/>
        <v>188.714</v>
      </c>
    </row>
    <row r="30" spans="1:9" ht="18.75" x14ac:dyDescent="0.3">
      <c r="A30" s="9">
        <f t="shared" si="1"/>
        <v>15400</v>
      </c>
      <c r="B30" s="9"/>
      <c r="C30" s="6">
        <f>+$C$5+12.4*5.78</f>
        <v>92.672000000000011</v>
      </c>
      <c r="D30" s="7"/>
      <c r="E30" s="6">
        <v>79.87</v>
      </c>
      <c r="F30" s="7"/>
      <c r="G30" s="6">
        <v>16.75</v>
      </c>
      <c r="H30" s="7"/>
      <c r="I30" s="8">
        <f t="shared" si="0"/>
        <v>189.29200000000003</v>
      </c>
    </row>
    <row r="31" spans="1:9" ht="18.75" x14ac:dyDescent="0.3">
      <c r="A31" s="9">
        <f t="shared" si="1"/>
        <v>15500</v>
      </c>
      <c r="B31" s="9"/>
      <c r="C31" s="6">
        <f>+$C$5+12.5*5.78</f>
        <v>93.25</v>
      </c>
      <c r="D31" s="7"/>
      <c r="E31" s="6">
        <v>79.87</v>
      </c>
      <c r="F31" s="7"/>
      <c r="G31" s="6">
        <v>16.75</v>
      </c>
      <c r="H31" s="7"/>
      <c r="I31" s="8">
        <f t="shared" si="0"/>
        <v>189.87</v>
      </c>
    </row>
    <row r="32" spans="1:9" ht="18.75" x14ac:dyDescent="0.3">
      <c r="A32" s="9">
        <f t="shared" si="1"/>
        <v>15600</v>
      </c>
      <c r="B32" s="9"/>
      <c r="C32" s="6">
        <f>+$C$5+12.6*5.78</f>
        <v>93.828000000000003</v>
      </c>
      <c r="D32" s="7"/>
      <c r="E32" s="6">
        <v>79.87</v>
      </c>
      <c r="F32" s="7"/>
      <c r="G32" s="6">
        <v>16.75</v>
      </c>
      <c r="H32" s="7"/>
      <c r="I32" s="8">
        <f t="shared" si="0"/>
        <v>190.44800000000001</v>
      </c>
    </row>
    <row r="33" spans="1:9" ht="18.75" x14ac:dyDescent="0.3">
      <c r="A33" s="9">
        <f t="shared" si="1"/>
        <v>15700</v>
      </c>
      <c r="B33" s="9"/>
      <c r="C33" s="6">
        <f>+$C$5+12.7*5.78</f>
        <v>94.406000000000006</v>
      </c>
      <c r="D33" s="7"/>
      <c r="E33" s="6">
        <v>79.87</v>
      </c>
      <c r="F33" s="7"/>
      <c r="G33" s="6">
        <v>16.75</v>
      </c>
      <c r="H33" s="7"/>
      <c r="I33" s="8">
        <f t="shared" si="0"/>
        <v>191.02600000000001</v>
      </c>
    </row>
    <row r="34" spans="1:9" ht="18.75" x14ac:dyDescent="0.3">
      <c r="A34" s="9">
        <f t="shared" si="1"/>
        <v>15800</v>
      </c>
      <c r="B34" s="9"/>
      <c r="C34" s="6">
        <f>+$C$5+12.8*5.78</f>
        <v>94.984000000000009</v>
      </c>
      <c r="D34" s="7"/>
      <c r="E34" s="6">
        <v>79.87</v>
      </c>
      <c r="F34" s="7"/>
      <c r="G34" s="6">
        <v>16.75</v>
      </c>
      <c r="H34" s="7"/>
      <c r="I34" s="8">
        <f t="shared" si="0"/>
        <v>191.60400000000001</v>
      </c>
    </row>
    <row r="35" spans="1:9" ht="18.75" x14ac:dyDescent="0.3">
      <c r="A35" s="9">
        <f t="shared" si="1"/>
        <v>15900</v>
      </c>
      <c r="B35" s="9"/>
      <c r="C35" s="6">
        <f>+$C$5+12.9*5.78</f>
        <v>95.562000000000012</v>
      </c>
      <c r="D35" s="7"/>
      <c r="E35" s="6">
        <v>79.87</v>
      </c>
      <c r="F35" s="7"/>
      <c r="G35" s="6">
        <v>16.75</v>
      </c>
      <c r="H35" s="7"/>
      <c r="I35" s="8">
        <f t="shared" si="0"/>
        <v>192.18200000000002</v>
      </c>
    </row>
    <row r="36" spans="1:9" ht="18.75" x14ac:dyDescent="0.3">
      <c r="A36" s="9">
        <f t="shared" si="1"/>
        <v>16000</v>
      </c>
      <c r="B36" s="9"/>
      <c r="C36" s="6">
        <f>+$C$5+13*5.78</f>
        <v>96.14</v>
      </c>
      <c r="D36" s="7"/>
      <c r="E36" s="6">
        <v>79.87</v>
      </c>
      <c r="F36" s="7"/>
      <c r="G36" s="6">
        <v>16.75</v>
      </c>
      <c r="H36" s="7"/>
      <c r="I36" s="8">
        <f t="shared" si="0"/>
        <v>192.76</v>
      </c>
    </row>
    <row r="37" spans="1:9" ht="18.75" x14ac:dyDescent="0.3">
      <c r="A37" s="9">
        <f t="shared" si="1"/>
        <v>16100</v>
      </c>
      <c r="B37" s="9"/>
      <c r="C37" s="6">
        <f>+$C$5+13.1*5.78</f>
        <v>96.718000000000004</v>
      </c>
      <c r="D37" s="7"/>
      <c r="E37" s="6">
        <v>79.87</v>
      </c>
      <c r="F37" s="7"/>
      <c r="G37" s="6">
        <v>16.75</v>
      </c>
      <c r="H37" s="7"/>
      <c r="I37" s="8">
        <f t="shared" si="0"/>
        <v>193.33800000000002</v>
      </c>
    </row>
    <row r="38" spans="1:9" ht="18.75" x14ac:dyDescent="0.3">
      <c r="A38" s="9">
        <f t="shared" si="1"/>
        <v>16200</v>
      </c>
      <c r="B38" s="9"/>
      <c r="C38" s="6">
        <f>+$C$5+13.2*5.78</f>
        <v>97.295999999999992</v>
      </c>
      <c r="D38" s="7"/>
      <c r="E38" s="6">
        <v>79.87</v>
      </c>
      <c r="F38" s="7"/>
      <c r="G38" s="6">
        <v>16.75</v>
      </c>
      <c r="H38" s="7"/>
      <c r="I38" s="8">
        <f t="shared" si="0"/>
        <v>193.916</v>
      </c>
    </row>
    <row r="39" spans="1:9" ht="18.75" x14ac:dyDescent="0.3">
      <c r="A39" s="9">
        <f t="shared" si="1"/>
        <v>16300</v>
      </c>
      <c r="B39" s="9"/>
      <c r="C39" s="6">
        <f>+$C$5+13.3*5.78</f>
        <v>97.874000000000009</v>
      </c>
      <c r="D39" s="7"/>
      <c r="E39" s="6">
        <v>79.87</v>
      </c>
      <c r="F39" s="7"/>
      <c r="G39" s="6">
        <v>16.75</v>
      </c>
      <c r="H39" s="7"/>
      <c r="I39" s="8">
        <f t="shared" si="0"/>
        <v>194.49400000000003</v>
      </c>
    </row>
    <row r="40" spans="1:9" ht="18.75" x14ac:dyDescent="0.3">
      <c r="A40" s="9">
        <f t="shared" si="1"/>
        <v>16400</v>
      </c>
      <c r="B40" s="9"/>
      <c r="C40" s="6">
        <f>+$C$5+13.4*5.78</f>
        <v>98.452000000000012</v>
      </c>
      <c r="D40" s="7"/>
      <c r="E40" s="6">
        <v>79.87</v>
      </c>
      <c r="F40" s="7"/>
      <c r="G40" s="6">
        <v>16.75</v>
      </c>
      <c r="H40" s="7"/>
      <c r="I40" s="8">
        <f t="shared" si="0"/>
        <v>195.072</v>
      </c>
    </row>
    <row r="41" spans="1:9" ht="18.75" x14ac:dyDescent="0.3">
      <c r="A41" s="9">
        <f t="shared" si="1"/>
        <v>16500</v>
      </c>
      <c r="B41" s="9"/>
      <c r="C41" s="6">
        <f>+$C$5+13.5*5.78</f>
        <v>99.03</v>
      </c>
      <c r="D41" s="7"/>
      <c r="E41" s="6">
        <v>79.87</v>
      </c>
      <c r="F41" s="7"/>
      <c r="G41" s="6">
        <v>16.75</v>
      </c>
      <c r="H41" s="7"/>
      <c r="I41" s="8">
        <f t="shared" si="0"/>
        <v>195.65</v>
      </c>
    </row>
    <row r="42" spans="1:9" ht="18.75" x14ac:dyDescent="0.3">
      <c r="A42" s="9">
        <f t="shared" si="1"/>
        <v>16600</v>
      </c>
      <c r="B42" s="9"/>
      <c r="C42" s="6">
        <f>+$C$5+13.6*5.78</f>
        <v>99.608000000000004</v>
      </c>
      <c r="D42" s="7"/>
      <c r="E42" s="6">
        <v>79.87</v>
      </c>
      <c r="F42" s="7"/>
      <c r="G42" s="6">
        <v>16.75</v>
      </c>
      <c r="H42" s="7"/>
      <c r="I42" s="8">
        <f t="shared" si="0"/>
        <v>196.22800000000001</v>
      </c>
    </row>
    <row r="43" spans="1:9" ht="18.75" x14ac:dyDescent="0.3">
      <c r="A43" s="9">
        <f t="shared" si="1"/>
        <v>16700</v>
      </c>
      <c r="B43" s="9"/>
      <c r="C43" s="6">
        <f>+$C$5+13.7*5.78</f>
        <v>100.18599999999999</v>
      </c>
      <c r="D43" s="7"/>
      <c r="E43" s="6">
        <v>79.87</v>
      </c>
      <c r="F43" s="7"/>
      <c r="G43" s="6">
        <v>16.75</v>
      </c>
      <c r="H43" s="7"/>
      <c r="I43" s="8">
        <f t="shared" si="0"/>
        <v>196.80599999999998</v>
      </c>
    </row>
    <row r="44" spans="1:9" ht="18.75" x14ac:dyDescent="0.3">
      <c r="A44" s="9">
        <f t="shared" si="1"/>
        <v>16800</v>
      </c>
      <c r="B44" s="9"/>
      <c r="C44" s="6">
        <f>+$C$5+13.8*5.78</f>
        <v>100.76400000000001</v>
      </c>
      <c r="D44" s="7"/>
      <c r="E44" s="6">
        <v>79.87</v>
      </c>
      <c r="F44" s="7"/>
      <c r="G44" s="6">
        <v>16.75</v>
      </c>
      <c r="H44" s="7"/>
      <c r="I44" s="8">
        <f t="shared" si="0"/>
        <v>197.38400000000001</v>
      </c>
    </row>
    <row r="45" spans="1:9" ht="18.75" x14ac:dyDescent="0.3">
      <c r="A45" s="9">
        <f t="shared" si="1"/>
        <v>16900</v>
      </c>
      <c r="B45" s="9"/>
      <c r="C45" s="6">
        <f>+$C$5+13.9*5.78</f>
        <v>101.342</v>
      </c>
      <c r="D45" s="7"/>
      <c r="E45" s="6">
        <v>79.87</v>
      </c>
      <c r="F45" s="7"/>
      <c r="G45" s="6">
        <v>16.75</v>
      </c>
      <c r="H45" s="7"/>
      <c r="I45" s="8">
        <f t="shared" si="0"/>
        <v>197.96199999999999</v>
      </c>
    </row>
    <row r="46" spans="1:9" ht="18.75" x14ac:dyDescent="0.3">
      <c r="A46" s="9">
        <f t="shared" si="1"/>
        <v>17000</v>
      </c>
      <c r="B46" s="9"/>
      <c r="C46" s="6">
        <f>+$C$5+14*5.78</f>
        <v>101.92</v>
      </c>
      <c r="D46" s="7"/>
      <c r="E46" s="6">
        <v>79.87</v>
      </c>
      <c r="F46" s="7"/>
      <c r="G46" s="6">
        <v>16.75</v>
      </c>
      <c r="H46" s="7"/>
      <c r="I46" s="8">
        <f t="shared" si="0"/>
        <v>198.54000000000002</v>
      </c>
    </row>
    <row r="47" spans="1:9" ht="18.75" x14ac:dyDescent="0.3">
      <c r="A47" s="9">
        <f t="shared" si="1"/>
        <v>17100</v>
      </c>
      <c r="B47" s="9"/>
      <c r="C47" s="6">
        <f>+$C$5+14.1*5.78</f>
        <v>102.498</v>
      </c>
      <c r="D47" s="7"/>
      <c r="E47" s="6">
        <v>79.87</v>
      </c>
      <c r="F47" s="7"/>
      <c r="G47" s="6">
        <v>16.75</v>
      </c>
      <c r="H47" s="7"/>
      <c r="I47" s="8">
        <f t="shared" si="0"/>
        <v>199.11799999999999</v>
      </c>
    </row>
    <row r="48" spans="1:9" ht="18.75" x14ac:dyDescent="0.3">
      <c r="A48" s="9">
        <f t="shared" si="1"/>
        <v>17200</v>
      </c>
      <c r="B48" s="9"/>
      <c r="C48" s="6">
        <f>+$C$5+14.2*5.78</f>
        <v>103.07599999999999</v>
      </c>
      <c r="D48" s="7"/>
      <c r="E48" s="6">
        <v>79.87</v>
      </c>
      <c r="F48" s="7"/>
      <c r="G48" s="6">
        <v>16.75</v>
      </c>
      <c r="H48" s="7"/>
      <c r="I48" s="8">
        <f t="shared" si="0"/>
        <v>199.696</v>
      </c>
    </row>
    <row r="49" spans="1:9" ht="18.75" x14ac:dyDescent="0.3">
      <c r="A49" s="9">
        <f t="shared" si="1"/>
        <v>17300</v>
      </c>
      <c r="B49" s="9"/>
      <c r="C49" s="6">
        <f>+$C$5+14.3*5.78</f>
        <v>103.65400000000001</v>
      </c>
      <c r="D49" s="7"/>
      <c r="E49" s="6">
        <v>79.87</v>
      </c>
      <c r="F49" s="7"/>
      <c r="G49" s="6">
        <v>16.75</v>
      </c>
      <c r="H49" s="7"/>
      <c r="I49" s="8">
        <f t="shared" si="0"/>
        <v>200.274</v>
      </c>
    </row>
    <row r="50" spans="1:9" ht="18.75" x14ac:dyDescent="0.3">
      <c r="A50" s="9">
        <f t="shared" si="1"/>
        <v>17400</v>
      </c>
      <c r="B50" s="9"/>
      <c r="C50" s="6">
        <f>+$C$5+14.4*5.783</f>
        <v>104.27520000000001</v>
      </c>
      <c r="D50" s="7"/>
      <c r="E50" s="6">
        <v>79.87</v>
      </c>
      <c r="F50" s="7"/>
      <c r="G50" s="6">
        <v>16.75</v>
      </c>
      <c r="H50" s="7"/>
      <c r="I50" s="8">
        <f t="shared" si="0"/>
        <v>200.89520000000002</v>
      </c>
    </row>
    <row r="51" spans="1:9" ht="18.75" x14ac:dyDescent="0.3">
      <c r="A51" s="9">
        <f t="shared" si="1"/>
        <v>17500</v>
      </c>
      <c r="B51" s="9"/>
      <c r="C51" s="6">
        <f>+$C$5+14.5*5.78</f>
        <v>104.81</v>
      </c>
      <c r="D51" s="7"/>
      <c r="E51" s="6">
        <v>79.87</v>
      </c>
      <c r="F51" s="7"/>
      <c r="G51" s="6">
        <v>16.75</v>
      </c>
      <c r="H51" s="7"/>
      <c r="I51" s="8">
        <f t="shared" si="0"/>
        <v>201.43</v>
      </c>
    </row>
    <row r="52" spans="1:9" ht="18.75" x14ac:dyDescent="0.3">
      <c r="A52" s="9">
        <f t="shared" si="1"/>
        <v>17600</v>
      </c>
      <c r="B52" s="9"/>
      <c r="C52" s="6">
        <f>+$C$5+14.6*5.78</f>
        <v>105.38800000000001</v>
      </c>
      <c r="D52" s="7"/>
      <c r="E52" s="6">
        <v>79.87</v>
      </c>
      <c r="F52" s="7"/>
      <c r="G52" s="6">
        <v>16.75</v>
      </c>
      <c r="H52" s="7"/>
      <c r="I52" s="8">
        <f t="shared" si="0"/>
        <v>202.00800000000001</v>
      </c>
    </row>
    <row r="53" spans="1:9" ht="18.75" x14ac:dyDescent="0.3">
      <c r="A53" s="9">
        <f t="shared" si="1"/>
        <v>17700</v>
      </c>
      <c r="B53" s="9"/>
      <c r="C53" s="6">
        <f>+$C$5+14.7*5.78</f>
        <v>105.96599999999999</v>
      </c>
      <c r="D53" s="7"/>
      <c r="E53" s="6">
        <v>79.87</v>
      </c>
      <c r="F53" s="7"/>
      <c r="G53" s="6">
        <v>16.75</v>
      </c>
      <c r="H53" s="7"/>
      <c r="I53" s="8">
        <f t="shared" si="0"/>
        <v>202.58600000000001</v>
      </c>
    </row>
    <row r="54" spans="1:9" ht="18.75" x14ac:dyDescent="0.3">
      <c r="A54" s="9">
        <f t="shared" si="1"/>
        <v>17800</v>
      </c>
      <c r="B54" s="9"/>
      <c r="C54" s="6">
        <f>+$C$5+14.8*5.78</f>
        <v>106.54400000000001</v>
      </c>
      <c r="D54" s="7"/>
      <c r="E54" s="6">
        <v>79.87</v>
      </c>
      <c r="F54" s="7"/>
      <c r="G54" s="6">
        <v>16.75</v>
      </c>
      <c r="H54" s="7"/>
      <c r="I54" s="8">
        <f t="shared" si="0"/>
        <v>203.16400000000002</v>
      </c>
    </row>
    <row r="55" spans="1:9" ht="18.75" x14ac:dyDescent="0.3">
      <c r="A55" s="9">
        <f t="shared" si="1"/>
        <v>17900</v>
      </c>
      <c r="B55" s="9"/>
      <c r="C55" s="6">
        <f>+$C$5+14.9*5.78</f>
        <v>107.122</v>
      </c>
      <c r="D55" s="7"/>
      <c r="E55" s="6">
        <v>79.87</v>
      </c>
      <c r="F55" s="7"/>
      <c r="G55" s="6">
        <v>16.75</v>
      </c>
      <c r="H55" s="7"/>
      <c r="I55" s="8">
        <f t="shared" si="0"/>
        <v>203.74200000000002</v>
      </c>
    </row>
    <row r="56" spans="1:9" ht="18.75" x14ac:dyDescent="0.3">
      <c r="A56" s="9"/>
      <c r="B56" s="9"/>
      <c r="C56" s="6"/>
      <c r="D56" s="7"/>
      <c r="E56" s="6"/>
      <c r="F56" s="7"/>
      <c r="G56" s="6"/>
      <c r="H56" s="7"/>
      <c r="I56" s="8"/>
    </row>
  </sheetData>
  <mergeCells count="3">
    <mergeCell ref="A1:I1"/>
    <mergeCell ref="A2:I2"/>
    <mergeCell ref="A3:I3"/>
  </mergeCells>
  <pageMargins left="0.7" right="0.7" top="0.75" bottom="0.75" header="0.3" footer="0.3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72C06-4C45-43FC-9EC5-2152948F371C}">
  <sheetPr>
    <pageSetUpPr fitToPage="1"/>
  </sheetPr>
  <dimension ref="A1:I56"/>
  <sheetViews>
    <sheetView workbookViewId="0">
      <selection activeCell="A3" sqref="A3:XFD7"/>
    </sheetView>
  </sheetViews>
  <sheetFormatPr defaultRowHeight="15" x14ac:dyDescent="0.25"/>
  <sheetData>
    <row r="1" spans="1:9" ht="18.75" x14ac:dyDescent="0.3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9" ht="18.75" x14ac:dyDescent="0.3">
      <c r="A2" s="13" t="s">
        <v>6</v>
      </c>
      <c r="B2" s="13"/>
      <c r="C2" s="13"/>
      <c r="D2" s="13"/>
      <c r="E2" s="13"/>
      <c r="F2" s="13"/>
      <c r="G2" s="13"/>
      <c r="H2" s="13"/>
      <c r="I2" s="13"/>
    </row>
    <row r="3" spans="1:9" ht="18.75" x14ac:dyDescent="0.3">
      <c r="A3" s="14" t="s">
        <v>9</v>
      </c>
      <c r="B3" s="14"/>
      <c r="C3" s="14"/>
      <c r="D3" s="14"/>
      <c r="E3" s="14"/>
      <c r="F3" s="14"/>
      <c r="G3" s="14"/>
      <c r="H3" s="14"/>
      <c r="I3" s="14"/>
    </row>
    <row r="4" spans="1:9" ht="18.75" hidden="1" x14ac:dyDescent="0.3">
      <c r="A4" s="1" t="s">
        <v>4</v>
      </c>
      <c r="B4" s="1"/>
      <c r="C4" s="2" t="s">
        <v>0</v>
      </c>
      <c r="D4" s="3"/>
      <c r="E4" s="2" t="s">
        <v>1</v>
      </c>
      <c r="F4" s="3"/>
      <c r="G4" s="2" t="s">
        <v>2</v>
      </c>
      <c r="H4" s="3"/>
      <c r="I4" s="4" t="s">
        <v>3</v>
      </c>
    </row>
    <row r="5" spans="1:9" ht="18.75" hidden="1" x14ac:dyDescent="0.3">
      <c r="A5" s="5"/>
      <c r="B5" s="5"/>
      <c r="C5" s="6">
        <v>21</v>
      </c>
      <c r="D5" s="7"/>
      <c r="E5" s="6">
        <v>23.5</v>
      </c>
      <c r="F5" s="7"/>
      <c r="G5" s="6"/>
      <c r="H5" s="7"/>
      <c r="I5" s="8"/>
    </row>
    <row r="6" spans="1:9" ht="18.75" hidden="1" x14ac:dyDescent="0.3">
      <c r="A6" s="9">
        <v>18000</v>
      </c>
      <c r="B6" s="9"/>
      <c r="C6" s="6">
        <f>+$C$5+15*5.78</f>
        <v>107.7</v>
      </c>
      <c r="D6" s="7"/>
      <c r="E6" s="6">
        <v>79.87</v>
      </c>
      <c r="F6" s="7"/>
      <c r="G6" s="6">
        <v>16.75</v>
      </c>
      <c r="H6" s="7"/>
      <c r="I6" s="8">
        <f t="shared" ref="I6:I55" si="0">SUM(C6:G6)</f>
        <v>204.32</v>
      </c>
    </row>
    <row r="7" spans="1:9" ht="18.75" x14ac:dyDescent="0.3">
      <c r="A7" s="9">
        <f>+A6+100</f>
        <v>18100</v>
      </c>
      <c r="B7" s="9"/>
      <c r="C7" s="6">
        <f>+$C$5+15.1*5.78</f>
        <v>108.27800000000001</v>
      </c>
      <c r="D7" s="7"/>
      <c r="E7" s="6">
        <v>79.87</v>
      </c>
      <c r="F7" s="7"/>
      <c r="G7" s="6">
        <v>16.75</v>
      </c>
      <c r="H7" s="7"/>
      <c r="I7" s="8">
        <f t="shared" si="0"/>
        <v>204.89800000000002</v>
      </c>
    </row>
    <row r="8" spans="1:9" ht="18.75" x14ac:dyDescent="0.3">
      <c r="A8" s="9">
        <f t="shared" ref="A8:A55" si="1">+A7+100</f>
        <v>18200</v>
      </c>
      <c r="B8" s="9"/>
      <c r="C8" s="6">
        <f>+$C$5+15.2*5.78</f>
        <v>108.85599999999999</v>
      </c>
      <c r="D8" s="7"/>
      <c r="E8" s="6">
        <v>79.87</v>
      </c>
      <c r="F8" s="7"/>
      <c r="G8" s="6">
        <v>16.75</v>
      </c>
      <c r="H8" s="7"/>
      <c r="I8" s="8">
        <f t="shared" si="0"/>
        <v>205.476</v>
      </c>
    </row>
    <row r="9" spans="1:9" ht="18.75" x14ac:dyDescent="0.3">
      <c r="A9" s="9">
        <f t="shared" si="1"/>
        <v>18300</v>
      </c>
      <c r="B9" s="9"/>
      <c r="C9" s="6">
        <f>+$C$5+15.3*5.78</f>
        <v>109.43400000000001</v>
      </c>
      <c r="D9" s="7"/>
      <c r="E9" s="6">
        <v>79.87</v>
      </c>
      <c r="F9" s="7"/>
      <c r="G9" s="6">
        <v>16.75</v>
      </c>
      <c r="H9" s="7"/>
      <c r="I9" s="8">
        <f t="shared" si="0"/>
        <v>206.05400000000003</v>
      </c>
    </row>
    <row r="10" spans="1:9" ht="18.75" x14ac:dyDescent="0.3">
      <c r="A10" s="9">
        <f t="shared" si="1"/>
        <v>18400</v>
      </c>
      <c r="B10" s="9"/>
      <c r="C10" s="6">
        <f>+$C$5+15.4*5.78</f>
        <v>110.012</v>
      </c>
      <c r="D10" s="7"/>
      <c r="E10" s="6">
        <v>79.87</v>
      </c>
      <c r="F10" s="7"/>
      <c r="G10" s="6">
        <v>16.75</v>
      </c>
      <c r="H10" s="7"/>
      <c r="I10" s="8">
        <f t="shared" si="0"/>
        <v>206.63200000000001</v>
      </c>
    </row>
    <row r="11" spans="1:9" ht="18.75" x14ac:dyDescent="0.3">
      <c r="A11" s="9">
        <f t="shared" si="1"/>
        <v>18500</v>
      </c>
      <c r="B11" s="9"/>
      <c r="C11" s="6">
        <f>+$C$5+15.5*5.78</f>
        <v>110.59</v>
      </c>
      <c r="D11" s="7"/>
      <c r="E11" s="6">
        <v>79.87</v>
      </c>
      <c r="F11" s="7"/>
      <c r="G11" s="6">
        <v>16.75</v>
      </c>
      <c r="H11" s="7"/>
      <c r="I11" s="8">
        <f t="shared" si="0"/>
        <v>207.21</v>
      </c>
    </row>
    <row r="12" spans="1:9" ht="18.75" x14ac:dyDescent="0.3">
      <c r="A12" s="9">
        <f t="shared" si="1"/>
        <v>18600</v>
      </c>
      <c r="B12" s="9"/>
      <c r="C12" s="6">
        <f>+$C$5+15.6*5.78</f>
        <v>111.16800000000001</v>
      </c>
      <c r="D12" s="7"/>
      <c r="E12" s="6">
        <v>79.87</v>
      </c>
      <c r="F12" s="7"/>
      <c r="G12" s="6">
        <v>16.75</v>
      </c>
      <c r="H12" s="7"/>
      <c r="I12" s="8">
        <f t="shared" si="0"/>
        <v>207.78800000000001</v>
      </c>
    </row>
    <row r="13" spans="1:9" ht="18.75" x14ac:dyDescent="0.3">
      <c r="A13" s="9">
        <f t="shared" si="1"/>
        <v>18700</v>
      </c>
      <c r="B13" s="9"/>
      <c r="C13" s="6">
        <f>+$C$5+15.7*5.78</f>
        <v>111.746</v>
      </c>
      <c r="D13" s="7"/>
      <c r="E13" s="6">
        <v>79.87</v>
      </c>
      <c r="F13" s="7"/>
      <c r="G13" s="6">
        <v>16.75</v>
      </c>
      <c r="H13" s="7"/>
      <c r="I13" s="8">
        <f t="shared" si="0"/>
        <v>208.36599999999999</v>
      </c>
    </row>
    <row r="14" spans="1:9" ht="18.75" x14ac:dyDescent="0.3">
      <c r="A14" s="9">
        <f t="shared" si="1"/>
        <v>18800</v>
      </c>
      <c r="B14" s="9"/>
      <c r="C14" s="6">
        <f>+$C$5+15.8*5.78</f>
        <v>112.32400000000001</v>
      </c>
      <c r="D14" s="7"/>
      <c r="E14" s="6">
        <v>79.87</v>
      </c>
      <c r="F14" s="7"/>
      <c r="G14" s="6">
        <v>16.75</v>
      </c>
      <c r="H14" s="7"/>
      <c r="I14" s="8">
        <f t="shared" si="0"/>
        <v>208.94400000000002</v>
      </c>
    </row>
    <row r="15" spans="1:9" ht="18.75" x14ac:dyDescent="0.3">
      <c r="A15" s="9">
        <f t="shared" si="1"/>
        <v>18900</v>
      </c>
      <c r="B15" s="9"/>
      <c r="C15" s="6">
        <f>+$C$5+15.9*5.78</f>
        <v>112.902</v>
      </c>
      <c r="D15" s="7"/>
      <c r="E15" s="6">
        <v>79.87</v>
      </c>
      <c r="F15" s="7"/>
      <c r="G15" s="6">
        <v>16.75</v>
      </c>
      <c r="H15" s="7"/>
      <c r="I15" s="8">
        <f t="shared" si="0"/>
        <v>209.52199999999999</v>
      </c>
    </row>
    <row r="16" spans="1:9" ht="18.75" x14ac:dyDescent="0.3">
      <c r="A16" s="9">
        <f t="shared" si="1"/>
        <v>19000</v>
      </c>
      <c r="B16" s="9"/>
      <c r="C16" s="6">
        <f>+$C$5+16*5.78</f>
        <v>113.48</v>
      </c>
      <c r="D16" s="7"/>
      <c r="E16" s="6">
        <v>79.87</v>
      </c>
      <c r="F16" s="7"/>
      <c r="G16" s="6">
        <v>16.75</v>
      </c>
      <c r="H16" s="7"/>
      <c r="I16" s="8">
        <f t="shared" si="0"/>
        <v>210.10000000000002</v>
      </c>
    </row>
    <row r="17" spans="1:9" ht="18.75" x14ac:dyDescent="0.3">
      <c r="A17" s="9">
        <f t="shared" si="1"/>
        <v>19100</v>
      </c>
      <c r="B17" s="9"/>
      <c r="C17" s="6">
        <f>+$C$5+16.1*5.78</f>
        <v>114.05800000000001</v>
      </c>
      <c r="D17" s="7"/>
      <c r="E17" s="6">
        <v>79.87</v>
      </c>
      <c r="F17" s="7"/>
      <c r="G17" s="6">
        <v>16.75</v>
      </c>
      <c r="H17" s="7"/>
      <c r="I17" s="8">
        <f t="shared" si="0"/>
        <v>210.678</v>
      </c>
    </row>
    <row r="18" spans="1:9" ht="18.75" x14ac:dyDescent="0.3">
      <c r="A18" s="9">
        <f t="shared" si="1"/>
        <v>19200</v>
      </c>
      <c r="B18" s="9"/>
      <c r="C18" s="6">
        <f>+$C$5+16.2*5.78</f>
        <v>114.636</v>
      </c>
      <c r="D18" s="7"/>
      <c r="E18" s="6">
        <v>79.87</v>
      </c>
      <c r="F18" s="7"/>
      <c r="G18" s="6">
        <v>16.75</v>
      </c>
      <c r="H18" s="7"/>
      <c r="I18" s="8">
        <f t="shared" si="0"/>
        <v>211.256</v>
      </c>
    </row>
    <row r="19" spans="1:9" ht="18.75" x14ac:dyDescent="0.3">
      <c r="A19" s="9">
        <f t="shared" si="1"/>
        <v>19300</v>
      </c>
      <c r="B19" s="9"/>
      <c r="C19" s="6">
        <f>+$C$5+16.3*5.78</f>
        <v>115.21400000000001</v>
      </c>
      <c r="D19" s="7"/>
      <c r="E19" s="6">
        <v>79.87</v>
      </c>
      <c r="F19" s="7"/>
      <c r="G19" s="6">
        <v>16.75</v>
      </c>
      <c r="H19" s="7"/>
      <c r="I19" s="8">
        <f t="shared" si="0"/>
        <v>211.834</v>
      </c>
    </row>
    <row r="20" spans="1:9" ht="18.75" x14ac:dyDescent="0.3">
      <c r="A20" s="9">
        <f t="shared" si="1"/>
        <v>19400</v>
      </c>
      <c r="B20" s="9"/>
      <c r="C20" s="6">
        <f>+$C$5+16.4*5.78</f>
        <v>115.792</v>
      </c>
      <c r="D20" s="7"/>
      <c r="E20" s="6">
        <v>79.87</v>
      </c>
      <c r="F20" s="7"/>
      <c r="G20" s="6">
        <v>16.75</v>
      </c>
      <c r="H20" s="7"/>
      <c r="I20" s="8">
        <f t="shared" si="0"/>
        <v>212.41200000000001</v>
      </c>
    </row>
    <row r="21" spans="1:9" ht="18.75" x14ac:dyDescent="0.3">
      <c r="A21" s="9">
        <f t="shared" si="1"/>
        <v>19500</v>
      </c>
      <c r="B21" s="9"/>
      <c r="C21" s="6">
        <f>+$C$5+16.5*5.78</f>
        <v>116.37</v>
      </c>
      <c r="D21" s="7"/>
      <c r="E21" s="6">
        <v>79.87</v>
      </c>
      <c r="F21" s="7"/>
      <c r="G21" s="6">
        <v>16.75</v>
      </c>
      <c r="H21" s="7"/>
      <c r="I21" s="8">
        <f t="shared" si="0"/>
        <v>212.99</v>
      </c>
    </row>
    <row r="22" spans="1:9" ht="18.75" x14ac:dyDescent="0.3">
      <c r="A22" s="9">
        <f t="shared" si="1"/>
        <v>19600</v>
      </c>
      <c r="B22" s="9"/>
      <c r="C22" s="6">
        <f>+$C$5+16.6*5.78</f>
        <v>116.94800000000001</v>
      </c>
      <c r="D22" s="7"/>
      <c r="E22" s="6">
        <v>79.87</v>
      </c>
      <c r="F22" s="7"/>
      <c r="G22" s="6">
        <v>16.75</v>
      </c>
      <c r="H22" s="7"/>
      <c r="I22" s="8">
        <f t="shared" si="0"/>
        <v>213.56800000000001</v>
      </c>
    </row>
    <row r="23" spans="1:9" ht="18.75" x14ac:dyDescent="0.3">
      <c r="A23" s="9">
        <f t="shared" si="1"/>
        <v>19700</v>
      </c>
      <c r="B23" s="9"/>
      <c r="C23" s="6">
        <f>+$C$5+16.7*5.78</f>
        <v>117.526</v>
      </c>
      <c r="D23" s="7"/>
      <c r="E23" s="6">
        <v>79.87</v>
      </c>
      <c r="F23" s="7"/>
      <c r="G23" s="6">
        <v>16.75</v>
      </c>
      <c r="H23" s="7"/>
      <c r="I23" s="8">
        <f t="shared" si="0"/>
        <v>214.14600000000002</v>
      </c>
    </row>
    <row r="24" spans="1:9" ht="18.75" x14ac:dyDescent="0.3">
      <c r="A24" s="9">
        <f t="shared" si="1"/>
        <v>19800</v>
      </c>
      <c r="B24" s="9"/>
      <c r="C24" s="6">
        <f>+$C$5+16.8*5.78</f>
        <v>118.10400000000001</v>
      </c>
      <c r="D24" s="7"/>
      <c r="E24" s="6">
        <v>79.87</v>
      </c>
      <c r="F24" s="7"/>
      <c r="G24" s="6">
        <v>16.75</v>
      </c>
      <c r="H24" s="7"/>
      <c r="I24" s="8">
        <f t="shared" si="0"/>
        <v>214.72400000000002</v>
      </c>
    </row>
    <row r="25" spans="1:9" ht="18.75" x14ac:dyDescent="0.3">
      <c r="A25" s="9">
        <f t="shared" si="1"/>
        <v>19900</v>
      </c>
      <c r="B25" s="9"/>
      <c r="C25" s="6">
        <f>+$C$5+16.9*5.78</f>
        <v>118.682</v>
      </c>
      <c r="D25" s="7"/>
      <c r="E25" s="6">
        <v>79.87</v>
      </c>
      <c r="F25" s="7"/>
      <c r="G25" s="6">
        <v>16.75</v>
      </c>
      <c r="H25" s="7"/>
      <c r="I25" s="8">
        <f t="shared" si="0"/>
        <v>215.30200000000002</v>
      </c>
    </row>
    <row r="26" spans="1:9" ht="18.75" x14ac:dyDescent="0.3">
      <c r="A26" s="9">
        <f t="shared" si="1"/>
        <v>20000</v>
      </c>
      <c r="B26" s="9"/>
      <c r="C26" s="6">
        <f>+$C$5+17*5.78</f>
        <v>119.26</v>
      </c>
      <c r="D26" s="7"/>
      <c r="E26" s="6">
        <v>79.87</v>
      </c>
      <c r="F26" s="7"/>
      <c r="G26" s="6">
        <v>16.75</v>
      </c>
      <c r="H26" s="7"/>
      <c r="I26" s="8">
        <f t="shared" si="0"/>
        <v>215.88</v>
      </c>
    </row>
    <row r="27" spans="1:9" ht="18.75" x14ac:dyDescent="0.3">
      <c r="A27" s="9">
        <f t="shared" si="1"/>
        <v>20100</v>
      </c>
      <c r="B27" s="9"/>
      <c r="C27" s="6">
        <f>+$C$5+17.1*5.78</f>
        <v>119.83800000000001</v>
      </c>
      <c r="D27" s="7"/>
      <c r="E27" s="6">
        <v>79.87</v>
      </c>
      <c r="F27" s="7"/>
      <c r="G27" s="6">
        <v>16.75</v>
      </c>
      <c r="H27" s="7"/>
      <c r="I27" s="8">
        <f t="shared" si="0"/>
        <v>216.45800000000003</v>
      </c>
    </row>
    <row r="28" spans="1:9" ht="18.75" x14ac:dyDescent="0.3">
      <c r="A28" s="9">
        <f t="shared" si="1"/>
        <v>20200</v>
      </c>
      <c r="B28" s="9"/>
      <c r="C28" s="6">
        <f>+$C$5+17.2*5.78</f>
        <v>120.416</v>
      </c>
      <c r="D28" s="7"/>
      <c r="E28" s="6">
        <v>79.87</v>
      </c>
      <c r="F28" s="7"/>
      <c r="G28" s="6">
        <v>16.75</v>
      </c>
      <c r="H28" s="7"/>
      <c r="I28" s="8">
        <f t="shared" si="0"/>
        <v>217.036</v>
      </c>
    </row>
    <row r="29" spans="1:9" ht="18.75" x14ac:dyDescent="0.3">
      <c r="A29" s="9">
        <f t="shared" si="1"/>
        <v>20300</v>
      </c>
      <c r="B29" s="9"/>
      <c r="C29" s="6">
        <f>+$C$5+17.3*5.78</f>
        <v>120.99400000000001</v>
      </c>
      <c r="D29" s="7"/>
      <c r="E29" s="6">
        <v>79.87</v>
      </c>
      <c r="F29" s="7"/>
      <c r="G29" s="6">
        <v>16.75</v>
      </c>
      <c r="H29" s="7"/>
      <c r="I29" s="8">
        <f t="shared" si="0"/>
        <v>217.61400000000003</v>
      </c>
    </row>
    <row r="30" spans="1:9" ht="18.75" x14ac:dyDescent="0.3">
      <c r="A30" s="9">
        <f t="shared" si="1"/>
        <v>20400</v>
      </c>
      <c r="B30" s="9"/>
      <c r="C30" s="6">
        <f>+$C$5+17.4*5.78</f>
        <v>121.572</v>
      </c>
      <c r="D30" s="7"/>
      <c r="E30" s="6">
        <v>79.87</v>
      </c>
      <c r="F30" s="7"/>
      <c r="G30" s="6">
        <v>16.75</v>
      </c>
      <c r="H30" s="7"/>
      <c r="I30" s="8">
        <f t="shared" si="0"/>
        <v>218.19200000000001</v>
      </c>
    </row>
    <row r="31" spans="1:9" ht="18.75" x14ac:dyDescent="0.3">
      <c r="A31" s="9">
        <f t="shared" si="1"/>
        <v>20500</v>
      </c>
      <c r="B31" s="9"/>
      <c r="C31" s="6">
        <f>+$C$5+17.5*5.78</f>
        <v>122.15</v>
      </c>
      <c r="D31" s="7"/>
      <c r="E31" s="6">
        <v>79.87</v>
      </c>
      <c r="F31" s="7"/>
      <c r="G31" s="6">
        <v>16.75</v>
      </c>
      <c r="H31" s="7"/>
      <c r="I31" s="8">
        <f t="shared" si="0"/>
        <v>218.77</v>
      </c>
    </row>
    <row r="32" spans="1:9" ht="18.75" x14ac:dyDescent="0.3">
      <c r="A32" s="9">
        <f t="shared" si="1"/>
        <v>20600</v>
      </c>
      <c r="B32" s="9"/>
      <c r="C32" s="6">
        <f>+$C$5+17.6*5.78</f>
        <v>122.72800000000001</v>
      </c>
      <c r="D32" s="7"/>
      <c r="E32" s="6">
        <v>79.87</v>
      </c>
      <c r="F32" s="7"/>
      <c r="G32" s="6">
        <v>16.75</v>
      </c>
      <c r="H32" s="7"/>
      <c r="I32" s="8">
        <f t="shared" si="0"/>
        <v>219.34800000000001</v>
      </c>
    </row>
    <row r="33" spans="1:9" ht="18.75" x14ac:dyDescent="0.3">
      <c r="A33" s="9">
        <f t="shared" si="1"/>
        <v>20700</v>
      </c>
      <c r="B33" s="9"/>
      <c r="C33" s="6">
        <f>+$C$5+17.7*5.78</f>
        <v>123.306</v>
      </c>
      <c r="D33" s="7"/>
      <c r="E33" s="6">
        <v>79.87</v>
      </c>
      <c r="F33" s="7"/>
      <c r="G33" s="6">
        <v>16.75</v>
      </c>
      <c r="H33" s="7"/>
      <c r="I33" s="8">
        <f t="shared" si="0"/>
        <v>219.92599999999999</v>
      </c>
    </row>
    <row r="34" spans="1:9" ht="18.75" x14ac:dyDescent="0.3">
      <c r="A34" s="9">
        <f t="shared" si="1"/>
        <v>20800</v>
      </c>
      <c r="B34" s="9"/>
      <c r="C34" s="6">
        <f>+$C$5+17.8*5.78</f>
        <v>123.88400000000001</v>
      </c>
      <c r="D34" s="7"/>
      <c r="E34" s="6">
        <v>79.87</v>
      </c>
      <c r="F34" s="7"/>
      <c r="G34" s="6">
        <v>16.75</v>
      </c>
      <c r="H34" s="7"/>
      <c r="I34" s="8">
        <f t="shared" si="0"/>
        <v>220.50400000000002</v>
      </c>
    </row>
    <row r="35" spans="1:9" ht="18.75" x14ac:dyDescent="0.3">
      <c r="A35" s="9">
        <f t="shared" si="1"/>
        <v>20900</v>
      </c>
      <c r="B35" s="9"/>
      <c r="C35" s="6">
        <f>+$C$5+17.9*5.78</f>
        <v>124.462</v>
      </c>
      <c r="D35" s="7"/>
      <c r="E35" s="6">
        <v>79.87</v>
      </c>
      <c r="F35" s="7"/>
      <c r="G35" s="6">
        <v>16.75</v>
      </c>
      <c r="H35" s="7"/>
      <c r="I35" s="8">
        <f t="shared" si="0"/>
        <v>221.08199999999999</v>
      </c>
    </row>
    <row r="36" spans="1:9" ht="18.75" x14ac:dyDescent="0.3">
      <c r="A36" s="9">
        <f t="shared" si="1"/>
        <v>21000</v>
      </c>
      <c r="B36" s="9"/>
      <c r="C36" s="6">
        <f>+$C$5+18*5.78</f>
        <v>125.04</v>
      </c>
      <c r="D36" s="7"/>
      <c r="E36" s="6">
        <v>79.87</v>
      </c>
      <c r="F36" s="7"/>
      <c r="G36" s="6">
        <v>16.75</v>
      </c>
      <c r="H36" s="7"/>
      <c r="I36" s="8">
        <f t="shared" si="0"/>
        <v>221.66000000000003</v>
      </c>
    </row>
    <row r="37" spans="1:9" ht="18.75" x14ac:dyDescent="0.3">
      <c r="A37" s="9">
        <f t="shared" si="1"/>
        <v>21100</v>
      </c>
      <c r="B37" s="9"/>
      <c r="C37" s="6">
        <f>+$C$5+18.1*5.78</f>
        <v>125.61800000000001</v>
      </c>
      <c r="D37" s="7"/>
      <c r="E37" s="6">
        <v>79.87</v>
      </c>
      <c r="F37" s="7"/>
      <c r="G37" s="6">
        <v>16.75</v>
      </c>
      <c r="H37" s="7"/>
      <c r="I37" s="8">
        <f t="shared" si="0"/>
        <v>222.238</v>
      </c>
    </row>
    <row r="38" spans="1:9" ht="18.75" x14ac:dyDescent="0.3">
      <c r="A38" s="9">
        <f t="shared" si="1"/>
        <v>21200</v>
      </c>
      <c r="B38" s="9"/>
      <c r="C38" s="6">
        <f>+$C$5+18.2*5.78</f>
        <v>126.196</v>
      </c>
      <c r="D38" s="7"/>
      <c r="E38" s="6">
        <v>79.87</v>
      </c>
      <c r="F38" s="7"/>
      <c r="G38" s="6">
        <v>16.75</v>
      </c>
      <c r="H38" s="7"/>
      <c r="I38" s="8">
        <f t="shared" si="0"/>
        <v>222.816</v>
      </c>
    </row>
    <row r="39" spans="1:9" ht="18.75" x14ac:dyDescent="0.3">
      <c r="A39" s="9">
        <f t="shared" si="1"/>
        <v>21300</v>
      </c>
      <c r="B39" s="9"/>
      <c r="C39" s="6">
        <f>+$C$5+18.3*5.78</f>
        <v>126.77400000000002</v>
      </c>
      <c r="D39" s="7"/>
      <c r="E39" s="6">
        <v>79.87</v>
      </c>
      <c r="F39" s="7"/>
      <c r="G39" s="6">
        <v>16.75</v>
      </c>
      <c r="H39" s="7"/>
      <c r="I39" s="8">
        <f t="shared" si="0"/>
        <v>223.39400000000001</v>
      </c>
    </row>
    <row r="40" spans="1:9" ht="18.75" x14ac:dyDescent="0.3">
      <c r="A40" s="9">
        <f t="shared" si="1"/>
        <v>21400</v>
      </c>
      <c r="B40" s="9"/>
      <c r="C40" s="6">
        <f>+$C$5+18.4*5.78</f>
        <v>127.35199999999999</v>
      </c>
      <c r="D40" s="7"/>
      <c r="E40" s="6">
        <v>79.87</v>
      </c>
      <c r="F40" s="7"/>
      <c r="G40" s="6">
        <v>16.75</v>
      </c>
      <c r="H40" s="7"/>
      <c r="I40" s="8">
        <f t="shared" si="0"/>
        <v>223.97199999999998</v>
      </c>
    </row>
    <row r="41" spans="1:9" ht="18.75" x14ac:dyDescent="0.3">
      <c r="A41" s="9">
        <f t="shared" si="1"/>
        <v>21500</v>
      </c>
      <c r="B41" s="9"/>
      <c r="C41" s="6">
        <f>+$C$5+18.5*5.78</f>
        <v>127.93</v>
      </c>
      <c r="D41" s="7"/>
      <c r="E41" s="6">
        <v>79.87</v>
      </c>
      <c r="F41" s="7"/>
      <c r="G41" s="6">
        <v>16.75</v>
      </c>
      <c r="H41" s="7"/>
      <c r="I41" s="8">
        <f t="shared" si="0"/>
        <v>224.55</v>
      </c>
    </row>
    <row r="42" spans="1:9" ht="18.75" x14ac:dyDescent="0.3">
      <c r="A42" s="9">
        <f t="shared" si="1"/>
        <v>21600</v>
      </c>
      <c r="B42" s="9"/>
      <c r="C42" s="6">
        <f>+$C$5+18.6*5.78</f>
        <v>128.50800000000001</v>
      </c>
      <c r="D42" s="7"/>
      <c r="E42" s="6">
        <v>79.87</v>
      </c>
      <c r="F42" s="7"/>
      <c r="G42" s="6">
        <v>16.75</v>
      </c>
      <c r="H42" s="7"/>
      <c r="I42" s="8">
        <f t="shared" si="0"/>
        <v>225.12800000000001</v>
      </c>
    </row>
    <row r="43" spans="1:9" ht="18.75" x14ac:dyDescent="0.3">
      <c r="A43" s="9">
        <f t="shared" si="1"/>
        <v>21700</v>
      </c>
      <c r="B43" s="9"/>
      <c r="C43" s="6">
        <f>+$C$5+18.7*5.78</f>
        <v>129.08600000000001</v>
      </c>
      <c r="D43" s="7"/>
      <c r="E43" s="6">
        <v>79.87</v>
      </c>
      <c r="F43" s="7"/>
      <c r="G43" s="6">
        <v>16.75</v>
      </c>
      <c r="H43" s="7"/>
      <c r="I43" s="8">
        <f t="shared" si="0"/>
        <v>225.70600000000002</v>
      </c>
    </row>
    <row r="44" spans="1:9" ht="18.75" x14ac:dyDescent="0.3">
      <c r="A44" s="9">
        <f t="shared" si="1"/>
        <v>21800</v>
      </c>
      <c r="B44" s="9"/>
      <c r="C44" s="6">
        <f>+$C$5+18.8*5.78</f>
        <v>129.66400000000002</v>
      </c>
      <c r="D44" s="7"/>
      <c r="E44" s="6">
        <v>79.87</v>
      </c>
      <c r="F44" s="7"/>
      <c r="G44" s="6">
        <v>16.75</v>
      </c>
      <c r="H44" s="7"/>
      <c r="I44" s="8">
        <f t="shared" si="0"/>
        <v>226.28400000000002</v>
      </c>
    </row>
    <row r="45" spans="1:9" ht="18.75" x14ac:dyDescent="0.3">
      <c r="A45" s="9">
        <f t="shared" si="1"/>
        <v>21900</v>
      </c>
      <c r="B45" s="9"/>
      <c r="C45" s="6">
        <f>+$C$5+18.9*5.78</f>
        <v>130.24199999999999</v>
      </c>
      <c r="D45" s="7"/>
      <c r="E45" s="6">
        <v>79.87</v>
      </c>
      <c r="F45" s="7"/>
      <c r="G45" s="6">
        <v>16.75</v>
      </c>
      <c r="H45" s="7"/>
      <c r="I45" s="8">
        <f t="shared" si="0"/>
        <v>226.86199999999999</v>
      </c>
    </row>
    <row r="46" spans="1:9" ht="18.75" x14ac:dyDescent="0.3">
      <c r="A46" s="9">
        <f t="shared" si="1"/>
        <v>22000</v>
      </c>
      <c r="B46" s="9"/>
      <c r="C46" s="6">
        <f>+$C$5+19*5.78</f>
        <v>130.82</v>
      </c>
      <c r="D46" s="7"/>
      <c r="E46" s="6">
        <v>79.87</v>
      </c>
      <c r="F46" s="7"/>
      <c r="G46" s="6">
        <v>16.75</v>
      </c>
      <c r="H46" s="7"/>
      <c r="I46" s="8">
        <f t="shared" si="0"/>
        <v>227.44</v>
      </c>
    </row>
    <row r="47" spans="1:9" ht="18.75" x14ac:dyDescent="0.3">
      <c r="A47" s="9">
        <f t="shared" si="1"/>
        <v>22100</v>
      </c>
      <c r="B47" s="9"/>
      <c r="C47" s="6">
        <f>+$C$5+19.1*5.78</f>
        <v>131.39800000000002</v>
      </c>
      <c r="D47" s="7"/>
      <c r="E47" s="6">
        <v>79.87</v>
      </c>
      <c r="F47" s="7"/>
      <c r="G47" s="6">
        <v>16.75</v>
      </c>
      <c r="H47" s="7"/>
      <c r="I47" s="8">
        <f t="shared" si="0"/>
        <v>228.01800000000003</v>
      </c>
    </row>
    <row r="48" spans="1:9" ht="18.75" x14ac:dyDescent="0.3">
      <c r="A48" s="9">
        <f t="shared" si="1"/>
        <v>22200</v>
      </c>
      <c r="B48" s="9"/>
      <c r="C48" s="6">
        <f>+$C$5+19.2*5.78</f>
        <v>131.976</v>
      </c>
      <c r="D48" s="7"/>
      <c r="E48" s="6">
        <v>79.87</v>
      </c>
      <c r="F48" s="7"/>
      <c r="G48" s="6">
        <v>16.75</v>
      </c>
      <c r="H48" s="7"/>
      <c r="I48" s="8">
        <f t="shared" si="0"/>
        <v>228.596</v>
      </c>
    </row>
    <row r="49" spans="1:9" ht="18.75" x14ac:dyDescent="0.3">
      <c r="A49" s="9">
        <f t="shared" si="1"/>
        <v>22300</v>
      </c>
      <c r="B49" s="9"/>
      <c r="C49" s="6">
        <f>+$C$5+19.3*5.78</f>
        <v>132.554</v>
      </c>
      <c r="D49" s="7"/>
      <c r="E49" s="6">
        <v>79.87</v>
      </c>
      <c r="F49" s="7"/>
      <c r="G49" s="6">
        <v>16.75</v>
      </c>
      <c r="H49" s="7"/>
      <c r="I49" s="8">
        <f t="shared" si="0"/>
        <v>229.17400000000001</v>
      </c>
    </row>
    <row r="50" spans="1:9" ht="18.75" x14ac:dyDescent="0.3">
      <c r="A50" s="9">
        <f t="shared" si="1"/>
        <v>22400</v>
      </c>
      <c r="B50" s="9"/>
      <c r="C50" s="6">
        <f>+$C$5+19.4*5.78</f>
        <v>133.13200000000001</v>
      </c>
      <c r="D50" s="7"/>
      <c r="E50" s="6">
        <v>79.87</v>
      </c>
      <c r="F50" s="7"/>
      <c r="G50" s="6">
        <v>16.75</v>
      </c>
      <c r="H50" s="7"/>
      <c r="I50" s="8">
        <f t="shared" si="0"/>
        <v>229.75200000000001</v>
      </c>
    </row>
    <row r="51" spans="1:9" ht="18.75" x14ac:dyDescent="0.3">
      <c r="A51" s="9">
        <f t="shared" si="1"/>
        <v>22500</v>
      </c>
      <c r="B51" s="9"/>
      <c r="C51" s="6">
        <f>+$C$5+19.5*5.78</f>
        <v>133.71</v>
      </c>
      <c r="D51" s="7"/>
      <c r="E51" s="6">
        <v>79.87</v>
      </c>
      <c r="F51" s="7"/>
      <c r="G51" s="6">
        <v>16.75</v>
      </c>
      <c r="H51" s="7"/>
      <c r="I51" s="8">
        <f t="shared" si="0"/>
        <v>230.33</v>
      </c>
    </row>
    <row r="52" spans="1:9" ht="18.75" x14ac:dyDescent="0.3">
      <c r="A52" s="9">
        <f t="shared" si="1"/>
        <v>22600</v>
      </c>
      <c r="B52" s="9"/>
      <c r="C52" s="6">
        <f>+$C$5+19.6*5.78</f>
        <v>134.28800000000001</v>
      </c>
      <c r="D52" s="7"/>
      <c r="E52" s="6">
        <v>79.87</v>
      </c>
      <c r="F52" s="7"/>
      <c r="G52" s="6">
        <v>16.75</v>
      </c>
      <c r="H52" s="7"/>
      <c r="I52" s="8">
        <f t="shared" si="0"/>
        <v>230.90800000000002</v>
      </c>
    </row>
    <row r="53" spans="1:9" ht="18.75" x14ac:dyDescent="0.3">
      <c r="A53" s="9">
        <f t="shared" si="1"/>
        <v>22700</v>
      </c>
      <c r="B53" s="9"/>
      <c r="C53" s="6">
        <f>+$C$5+19.7*5.78</f>
        <v>134.86599999999999</v>
      </c>
      <c r="D53" s="7"/>
      <c r="E53" s="6">
        <v>79.87</v>
      </c>
      <c r="F53" s="7"/>
      <c r="G53" s="6">
        <v>16.75</v>
      </c>
      <c r="H53" s="7"/>
      <c r="I53" s="8">
        <f t="shared" si="0"/>
        <v>231.48599999999999</v>
      </c>
    </row>
    <row r="54" spans="1:9" ht="18.75" x14ac:dyDescent="0.3">
      <c r="A54" s="9">
        <f t="shared" si="1"/>
        <v>22800</v>
      </c>
      <c r="B54" s="9"/>
      <c r="C54" s="6">
        <f>+$C$5+19.8*5.78</f>
        <v>135.44400000000002</v>
      </c>
      <c r="D54" s="7"/>
      <c r="E54" s="6">
        <v>79.87</v>
      </c>
      <c r="F54" s="7"/>
      <c r="G54" s="6">
        <v>16.75</v>
      </c>
      <c r="H54" s="7"/>
      <c r="I54" s="8">
        <f t="shared" si="0"/>
        <v>232.06400000000002</v>
      </c>
    </row>
    <row r="55" spans="1:9" ht="18.75" x14ac:dyDescent="0.3">
      <c r="A55" s="9">
        <f t="shared" si="1"/>
        <v>22900</v>
      </c>
      <c r="B55" s="9"/>
      <c r="C55" s="6">
        <f>+$C$5+19.9*5.78</f>
        <v>136.02199999999999</v>
      </c>
      <c r="D55" s="7"/>
      <c r="E55" s="6">
        <v>79.87</v>
      </c>
      <c r="F55" s="7"/>
      <c r="G55" s="6">
        <v>16.75</v>
      </c>
      <c r="H55" s="7"/>
      <c r="I55" s="8">
        <f t="shared" si="0"/>
        <v>232.642</v>
      </c>
    </row>
    <row r="56" spans="1:9" ht="18.75" x14ac:dyDescent="0.3">
      <c r="A56" s="9">
        <v>23000</v>
      </c>
      <c r="B56" s="9"/>
      <c r="C56" s="6">
        <f>+$C$5+20*5.78</f>
        <v>136.60000000000002</v>
      </c>
      <c r="D56" s="7"/>
      <c r="E56" s="6">
        <v>79.87</v>
      </c>
      <c r="F56" s="7"/>
      <c r="G56" s="6">
        <v>16.75</v>
      </c>
      <c r="H56" s="7"/>
      <c r="I56" s="8">
        <f t="shared" ref="I56" si="2">SUM(C56:G56)</f>
        <v>233.22000000000003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7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3000-7900</vt:lpstr>
      <vt:lpstr>8000-12900</vt:lpstr>
      <vt:lpstr>13000-17900</vt:lpstr>
      <vt:lpstr>18000-23000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Oliver</dc:creator>
  <cp:lastModifiedBy>Kim Bonner</cp:lastModifiedBy>
  <cp:lastPrinted>2019-09-16T15:19:44Z</cp:lastPrinted>
  <dcterms:created xsi:type="dcterms:W3CDTF">2014-04-17T17:25:23Z</dcterms:created>
  <dcterms:modified xsi:type="dcterms:W3CDTF">2019-09-16T15:19:46Z</dcterms:modified>
</cp:coreProperties>
</file>